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12015" activeTab="0"/>
  </bookViews>
  <sheets>
    <sheet name="Tannum Sands" sheetId="1" r:id="rId1"/>
  </sheets>
  <definedNames>
    <definedName name="_xlnm.Print_Area" localSheetId="0">'Tannum Sands'!$A$3:$J$69</definedName>
  </definedNames>
  <calcPr fullCalcOnLoad="1"/>
</workbook>
</file>

<file path=xl/sharedStrings.xml><?xml version="1.0" encoding="utf-8"?>
<sst xmlns="http://schemas.openxmlformats.org/spreadsheetml/2006/main" count="102" uniqueCount="85">
  <si>
    <t>5m Terrace 32</t>
  </si>
  <si>
    <t>Trial Scenario 1</t>
  </si>
  <si>
    <t>Terrace 32  (Ter)</t>
  </si>
  <si>
    <t>Example Lot Mixes</t>
  </si>
  <si>
    <t>Premium Villa 32</t>
  </si>
  <si>
    <t xml:space="preserve">  Main Assumptions</t>
  </si>
  <si>
    <t>Urban (U)</t>
  </si>
  <si>
    <t>Villa 25</t>
  </si>
  <si>
    <t>Detached Lots &lt; 450 sqm</t>
  </si>
  <si>
    <t>Traditional 32</t>
  </si>
  <si>
    <t>All Large</t>
  </si>
  <si>
    <t>Av. Lot Size (sqm)</t>
  </si>
  <si>
    <t>Courtyard 32</t>
  </si>
  <si>
    <t>Trial Scenario 2</t>
  </si>
  <si>
    <t>5m Terrace 25</t>
  </si>
  <si>
    <t>Detached Lots &gt; 450 sqm</t>
  </si>
  <si>
    <t>LOT YIELD AND MIX CALCULATOR</t>
  </si>
  <si>
    <t>Premium Villa 25</t>
  </si>
  <si>
    <t>Premium Traditional 32</t>
  </si>
  <si>
    <t>Width (m)</t>
  </si>
  <si>
    <t>Traditional 25</t>
  </si>
  <si>
    <t>Premium Traditional 32 ( T2)</t>
  </si>
  <si>
    <t>Urban</t>
  </si>
  <si>
    <t>Terrace 20</t>
  </si>
  <si>
    <t>Courtyard 25</t>
  </si>
  <si>
    <t>Detached Lots &gt; 450sqm</t>
  </si>
  <si>
    <t>Lot Mix</t>
  </si>
  <si>
    <t>Varies</t>
  </si>
  <si>
    <t>Premium Traditional 25 (T1)</t>
  </si>
  <si>
    <t>No. of Dwellings</t>
  </si>
  <si>
    <t xml:space="preserve">  Increase in Av. Area over Nominal Areas</t>
  </si>
  <si>
    <t>Terrace 32</t>
  </si>
  <si>
    <t>Premium Traditional 25</t>
  </si>
  <si>
    <t>Lots with Attached Dwellings</t>
  </si>
  <si>
    <t>Moderate Mix</t>
  </si>
  <si>
    <t>Results</t>
  </si>
  <si>
    <t>Courtyard 32 (C2)</t>
  </si>
  <si>
    <t>Total</t>
  </si>
  <si>
    <t>Depth (m)</t>
  </si>
  <si>
    <t>Sub Total</t>
  </si>
  <si>
    <t>MFD Lots</t>
  </si>
  <si>
    <t>Villa 32 (V2)</t>
  </si>
  <si>
    <t>Terrace 25</t>
  </si>
  <si>
    <t>Nom. Area</t>
  </si>
  <si>
    <t>Av. Area</t>
  </si>
  <si>
    <t>Villa 25  (V1)</t>
  </si>
  <si>
    <t xml:space="preserve">  Lot Type </t>
  </si>
  <si>
    <t>Av. No. of Dw's per MFD  =</t>
  </si>
  <si>
    <t>Typical Dimensions</t>
  </si>
  <si>
    <t>No. of Lots</t>
  </si>
  <si>
    <t>Villa 32</t>
  </si>
  <si>
    <t>Min. MFD site area/dw =</t>
  </si>
  <si>
    <t>Road Percentage =</t>
  </si>
  <si>
    <t>(sqm)</t>
  </si>
  <si>
    <t xml:space="preserve">  Key Site Characteristics</t>
  </si>
  <si>
    <t>Check 1</t>
  </si>
  <si>
    <t>Check 2</t>
  </si>
  <si>
    <t>Revised ULDA Lot Types</t>
  </si>
  <si>
    <t>Model Notes</t>
  </si>
  <si>
    <t>% of Open Space and Active Park will vary from site to site. If no Open Space use 10% as Active Park %</t>
  </si>
  <si>
    <t>Site Density (lots/ha) Net of Open Space and Superlots but including Roads and Local Parks</t>
  </si>
  <si>
    <t>Superlots (ha)</t>
  </si>
  <si>
    <t>District/major recreation parks/sports parks/community land/environmental reserves</t>
  </si>
  <si>
    <t>Local, neighbourhood recreation and linear parks</t>
  </si>
  <si>
    <t>Total parks, community and reserves percentage</t>
  </si>
  <si>
    <t>Urban lot % should not exceed 5% of total mix</t>
  </si>
  <si>
    <t>Net Saleable area ( net of roads and superlots)</t>
  </si>
  <si>
    <t>Urban 18</t>
  </si>
  <si>
    <t>Urban 14</t>
  </si>
  <si>
    <t>Urban 10</t>
  </si>
  <si>
    <t>Multiple Residential</t>
  </si>
  <si>
    <t>Inputs - only in Yellow Cells</t>
  </si>
  <si>
    <t>Inputs to be limited to cells highlighted in Yellow</t>
  </si>
  <si>
    <t>Site Area (ha)</t>
  </si>
  <si>
    <t>Note: Multiple Residential refers to sites that allow for multiple attached dwellings.</t>
  </si>
  <si>
    <t xml:space="preserve">Road Percentage varies depending on design efficiency - for initial calcs use 30% as a starting point </t>
  </si>
  <si>
    <t>Increase in Average area - will vary depending on design efficiency and number of irregular lots</t>
  </si>
  <si>
    <t>Superlot Dwellings</t>
  </si>
  <si>
    <t>Superlot Density dw/ha</t>
  </si>
  <si>
    <t>Assumed lot density for superlots</t>
  </si>
  <si>
    <t>Total No of Dwellings including Superlots</t>
  </si>
  <si>
    <t>Road Area  in ha =</t>
  </si>
  <si>
    <t>Net  Overall Residential Density (dw's/ha) (Net of Open Space ) but including Roads , Local Parks and Superlots</t>
  </si>
  <si>
    <t>Site Area net of Open Space &amp; superlots (includes roads and local parks)</t>
  </si>
  <si>
    <t>Site Area above less superlots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</si>
</sst>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0.0%"/>
    <numFmt numFmtId="166" formatCode="_-&quot;$&quot;* #,##0_-;\-&quot;$&quot;* #,##0_-;_-&quot;$&quot;* &quot;-&quot;??_-;_-@_-"/>
    <numFmt numFmtId="167" formatCode="0.0"/>
    <numFmt numFmtId="168" formatCode="_(&quot;$&quot;* #,##0_);_(&quot;$&quot;* \(#,##0\);_(&quot;$&quot;* &quot;-&quot;??_);_(@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Narrow"/>
      <family val="2"/>
    </font>
    <font>
      <b/>
      <sz val="16"/>
      <name val="Arial Narrow"/>
      <family val="2"/>
    </font>
    <font>
      <b/>
      <sz val="10"/>
      <name val="Arial Narrow"/>
      <family val="2"/>
    </font>
    <font>
      <b/>
      <sz val="12"/>
      <color indexed="9"/>
      <name val="Arial Narrow"/>
      <family val="2"/>
    </font>
    <font>
      <sz val="10"/>
      <color indexed="9"/>
      <name val="Arial Narrow"/>
      <family val="2"/>
    </font>
    <font>
      <i/>
      <sz val="8"/>
      <name val="Arial Narrow"/>
      <family val="2"/>
    </font>
    <font>
      <b/>
      <sz val="10"/>
      <color indexed="9"/>
      <name val="Arial Narrow"/>
      <family val="2"/>
    </font>
    <font>
      <i/>
      <sz val="10"/>
      <name val="Arial Narrow"/>
      <family val="2"/>
    </font>
    <font>
      <b/>
      <i/>
      <sz val="10"/>
      <name val="Arial Narrow"/>
      <family val="2"/>
    </font>
    <font>
      <b/>
      <i/>
      <sz val="10"/>
      <color indexed="9"/>
      <name val="Arial Narrow"/>
      <family val="2"/>
    </font>
    <font>
      <sz val="10"/>
      <color indexed="10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 Narrow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thin"/>
      <bottom style="thin"/>
    </border>
    <border>
      <left style="medium"/>
      <right style="medium"/>
      <top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thin"/>
      <right/>
      <top/>
      <bottom style="thin"/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/>
      <bottom/>
    </border>
    <border>
      <left/>
      <right style="thin"/>
      <top/>
      <bottom/>
    </border>
    <border>
      <left style="thin"/>
      <right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/>
      <bottom/>
    </border>
    <border>
      <left style="thin"/>
      <right style="medium"/>
      <top/>
      <bottom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 style="medium"/>
      <top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thin"/>
      <top style="medium"/>
      <bottom/>
    </border>
    <border>
      <left/>
      <right style="medium"/>
      <top/>
      <bottom style="medium"/>
    </border>
    <border>
      <left/>
      <right style="thin"/>
      <top/>
      <bottom style="medium"/>
    </border>
    <border>
      <left style="medium"/>
      <right style="thin"/>
      <top/>
      <bottom style="medium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93">
    <xf numFmtId="0" fontId="0" fillId="0" borderId="0" xfId="0" applyFont="1" applyAlignment="1">
      <alignment/>
    </xf>
    <xf numFmtId="0" fontId="2" fillId="0" borderId="0" xfId="56" applyFont="1" applyAlignment="1">
      <alignment vertical="center"/>
      <protection/>
    </xf>
    <xf numFmtId="167" fontId="2" fillId="33" borderId="10" xfId="56" applyNumberFormat="1" applyFont="1" applyFill="1" applyBorder="1" applyAlignment="1">
      <alignment horizontal="center" vertical="center"/>
      <protection/>
    </xf>
    <xf numFmtId="1" fontId="2" fillId="33" borderId="10" xfId="56" applyNumberFormat="1" applyFont="1" applyFill="1" applyBorder="1" applyAlignment="1">
      <alignment horizontal="center" vertical="center"/>
      <protection/>
    </xf>
    <xf numFmtId="165" fontId="9" fillId="0" borderId="10" xfId="56" applyNumberFormat="1" applyFont="1" applyFill="1" applyBorder="1" applyAlignment="1">
      <alignment horizontal="center" vertical="center"/>
      <protection/>
    </xf>
    <xf numFmtId="165" fontId="9" fillId="0" borderId="11" xfId="56" applyNumberFormat="1" applyFont="1" applyFill="1" applyBorder="1" applyAlignment="1">
      <alignment horizontal="center" vertical="center"/>
      <protection/>
    </xf>
    <xf numFmtId="165" fontId="2" fillId="0" borderId="0" xfId="56" applyNumberFormat="1" applyFont="1" applyFill="1" applyBorder="1" applyAlignment="1">
      <alignment vertical="center"/>
      <protection/>
    </xf>
    <xf numFmtId="165" fontId="2" fillId="33" borderId="12" xfId="56" applyNumberFormat="1" applyFont="1" applyFill="1" applyBorder="1" applyAlignment="1">
      <alignment horizontal="center" vertical="center"/>
      <protection/>
    </xf>
    <xf numFmtId="9" fontId="2" fillId="0" borderId="0" xfId="59" applyFont="1" applyAlignment="1">
      <alignment vertical="center"/>
    </xf>
    <xf numFmtId="9" fontId="2" fillId="0" borderId="13" xfId="59" applyFont="1" applyBorder="1" applyAlignment="1">
      <alignment vertical="center"/>
    </xf>
    <xf numFmtId="166" fontId="2" fillId="0" borderId="13" xfId="46" applyNumberFormat="1" applyFont="1" applyBorder="1" applyAlignment="1">
      <alignment vertical="center"/>
    </xf>
    <xf numFmtId="168" fontId="2" fillId="0" borderId="13" xfId="46" applyNumberFormat="1" applyFont="1" applyBorder="1" applyAlignment="1">
      <alignment vertical="center"/>
    </xf>
    <xf numFmtId="0" fontId="2" fillId="0" borderId="14" xfId="56" applyFont="1" applyBorder="1" applyAlignment="1">
      <alignment vertical="center"/>
      <protection/>
    </xf>
    <xf numFmtId="0" fontId="2" fillId="0" borderId="0" xfId="56" applyFont="1" applyBorder="1" applyAlignment="1">
      <alignment vertical="center"/>
      <protection/>
    </xf>
    <xf numFmtId="0" fontId="2" fillId="0" borderId="10" xfId="56" applyFont="1" applyBorder="1" applyAlignment="1">
      <alignment vertical="center"/>
      <protection/>
    </xf>
    <xf numFmtId="0" fontId="2" fillId="0" borderId="15" xfId="56" applyFont="1" applyBorder="1" applyAlignment="1">
      <alignment vertical="center"/>
      <protection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9" fontId="2" fillId="33" borderId="11" xfId="0" applyNumberFormat="1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167" fontId="2" fillId="0" borderId="17" xfId="0" applyNumberFormat="1" applyFont="1" applyFill="1" applyBorder="1" applyAlignment="1">
      <alignment horizontal="center" vertical="center"/>
    </xf>
    <xf numFmtId="9" fontId="2" fillId="33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167" fontId="2" fillId="0" borderId="0" xfId="0" applyNumberFormat="1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34" borderId="19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8" fillId="34" borderId="20" xfId="0" applyFont="1" applyFill="1" applyBorder="1" applyAlignment="1">
      <alignment horizontal="center" vertical="center"/>
    </xf>
    <xf numFmtId="0" fontId="8" fillId="34" borderId="18" xfId="0" applyFont="1" applyFill="1" applyBorder="1" applyAlignment="1">
      <alignment horizontal="center" vertical="center"/>
    </xf>
    <xf numFmtId="0" fontId="8" fillId="34" borderId="21" xfId="0" applyFont="1" applyFill="1" applyBorder="1" applyAlignment="1">
      <alignment horizontal="center" vertical="center"/>
    </xf>
    <xf numFmtId="0" fontId="8" fillId="34" borderId="22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left" vertical="center" indent="1"/>
    </xf>
    <xf numFmtId="1" fontId="2" fillId="0" borderId="24" xfId="0" applyNumberFormat="1" applyFont="1" applyBorder="1" applyAlignment="1">
      <alignment horizontal="center" vertical="center"/>
    </xf>
    <xf numFmtId="1" fontId="2" fillId="0" borderId="24" xfId="0" applyNumberFormat="1" applyFont="1" applyFill="1" applyBorder="1" applyAlignment="1">
      <alignment horizontal="center" vertical="center"/>
    </xf>
    <xf numFmtId="165" fontId="2" fillId="0" borderId="0" xfId="0" applyNumberFormat="1" applyFont="1" applyFill="1" applyBorder="1" applyAlignment="1">
      <alignment vertical="center"/>
    </xf>
    <xf numFmtId="165" fontId="2" fillId="33" borderId="23" xfId="0" applyNumberFormat="1" applyFont="1" applyFill="1" applyBorder="1" applyAlignment="1">
      <alignment horizontal="center" vertical="center"/>
    </xf>
    <xf numFmtId="1" fontId="2" fillId="0" borderId="25" xfId="0" applyNumberFormat="1" applyFont="1" applyFill="1" applyBorder="1" applyAlignment="1">
      <alignment horizontal="center" vertical="center"/>
    </xf>
    <xf numFmtId="1" fontId="2" fillId="0" borderId="0" xfId="0" applyNumberFormat="1" applyFont="1" applyAlignment="1">
      <alignment vertical="center"/>
    </xf>
    <xf numFmtId="1" fontId="2" fillId="35" borderId="26" xfId="0" applyNumberFormat="1" applyFont="1" applyFill="1" applyBorder="1" applyAlignment="1">
      <alignment horizontal="center" vertical="center"/>
    </xf>
    <xf numFmtId="165" fontId="9" fillId="35" borderId="26" xfId="0" applyNumberFormat="1" applyFont="1" applyFill="1" applyBorder="1" applyAlignment="1">
      <alignment horizontal="center" vertical="center"/>
    </xf>
    <xf numFmtId="165" fontId="9" fillId="35" borderId="27" xfId="0" applyNumberFormat="1" applyFont="1" applyFill="1" applyBorder="1" applyAlignment="1">
      <alignment horizontal="center" vertical="center"/>
    </xf>
    <xf numFmtId="165" fontId="4" fillId="0" borderId="0" xfId="0" applyNumberFormat="1" applyFont="1" applyFill="1" applyBorder="1" applyAlignment="1">
      <alignment vertical="center"/>
    </xf>
    <xf numFmtId="165" fontId="10" fillId="35" borderId="28" xfId="0" applyNumberFormat="1" applyFont="1" applyFill="1" applyBorder="1" applyAlignment="1">
      <alignment horizontal="center" vertical="center"/>
    </xf>
    <xf numFmtId="165" fontId="6" fillId="35" borderId="27" xfId="0" applyNumberFormat="1" applyFont="1" applyFill="1" applyBorder="1" applyAlignment="1">
      <alignment horizontal="center" vertical="center"/>
    </xf>
    <xf numFmtId="165" fontId="2" fillId="35" borderId="27" xfId="0" applyNumberFormat="1" applyFont="1" applyFill="1" applyBorder="1" applyAlignment="1">
      <alignment horizontal="center" vertical="center"/>
    </xf>
    <xf numFmtId="165" fontId="9" fillId="0" borderId="24" xfId="0" applyNumberFormat="1" applyFont="1" applyFill="1" applyBorder="1" applyAlignment="1">
      <alignment horizontal="center" vertical="center"/>
    </xf>
    <xf numFmtId="165" fontId="9" fillId="0" borderId="25" xfId="0" applyNumberFormat="1" applyFont="1" applyFill="1" applyBorder="1" applyAlignment="1">
      <alignment horizontal="center" vertical="center"/>
    </xf>
    <xf numFmtId="167" fontId="2" fillId="0" borderId="24" xfId="0" applyNumberFormat="1" applyFont="1" applyBorder="1" applyAlignment="1">
      <alignment horizontal="center" vertical="center"/>
    </xf>
    <xf numFmtId="1" fontId="2" fillId="0" borderId="29" xfId="0" applyNumberFormat="1" applyFont="1" applyFill="1" applyBorder="1" applyAlignment="1">
      <alignment horizontal="center" vertical="center"/>
    </xf>
    <xf numFmtId="0" fontId="2" fillId="0" borderId="30" xfId="0" applyFont="1" applyBorder="1" applyAlignment="1">
      <alignment vertical="center"/>
    </xf>
    <xf numFmtId="167" fontId="2" fillId="0" borderId="0" xfId="0" applyNumberFormat="1" applyFont="1" applyBorder="1" applyAlignment="1">
      <alignment vertical="center"/>
    </xf>
    <xf numFmtId="1" fontId="2" fillId="0" borderId="0" xfId="0" applyNumberFormat="1" applyFont="1" applyBorder="1" applyAlignment="1">
      <alignment vertical="center"/>
    </xf>
    <xf numFmtId="1" fontId="2" fillId="0" borderId="0" xfId="0" applyNumberFormat="1" applyFont="1" applyFill="1" applyBorder="1" applyAlignment="1">
      <alignment vertical="center"/>
    </xf>
    <xf numFmtId="1" fontId="2" fillId="35" borderId="27" xfId="0" applyNumberFormat="1" applyFont="1" applyFill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1" fontId="2" fillId="0" borderId="15" xfId="0" applyNumberFormat="1" applyFont="1" applyBorder="1" applyAlignment="1">
      <alignment vertical="center"/>
    </xf>
    <xf numFmtId="1" fontId="8" fillId="36" borderId="31" xfId="0" applyNumberFormat="1" applyFont="1" applyFill="1" applyBorder="1" applyAlignment="1">
      <alignment horizontal="center" vertical="center"/>
    </xf>
    <xf numFmtId="165" fontId="11" fillId="36" borderId="32" xfId="0" applyNumberFormat="1" applyFont="1" applyFill="1" applyBorder="1" applyAlignment="1">
      <alignment horizontal="center" vertical="center"/>
    </xf>
    <xf numFmtId="165" fontId="11" fillId="36" borderId="31" xfId="0" applyNumberFormat="1" applyFont="1" applyFill="1" applyBorder="1" applyAlignment="1">
      <alignment horizontal="center" vertical="center"/>
    </xf>
    <xf numFmtId="165" fontId="4" fillId="0" borderId="0" xfId="0" applyNumberFormat="1" applyFont="1" applyBorder="1" applyAlignment="1">
      <alignment vertical="center"/>
    </xf>
    <xf numFmtId="165" fontId="11" fillId="36" borderId="33" xfId="0" applyNumberFormat="1" applyFont="1" applyFill="1" applyBorder="1" applyAlignment="1">
      <alignment horizontal="center" vertical="center"/>
    </xf>
    <xf numFmtId="1" fontId="8" fillId="36" borderId="34" xfId="0" applyNumberFormat="1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vertical="center"/>
    </xf>
    <xf numFmtId="1" fontId="2" fillId="0" borderId="0" xfId="0" applyNumberFormat="1" applyFont="1" applyFill="1" applyBorder="1" applyAlignment="1">
      <alignment horizontal="center" vertical="center"/>
    </xf>
    <xf numFmtId="165" fontId="9" fillId="0" borderId="0" xfId="0" applyNumberFormat="1" applyFont="1" applyFill="1" applyBorder="1" applyAlignment="1">
      <alignment horizontal="center" vertical="center"/>
    </xf>
    <xf numFmtId="165" fontId="9" fillId="0" borderId="0" xfId="0" applyNumberFormat="1" applyFont="1" applyFill="1" applyBorder="1" applyAlignment="1">
      <alignment vertical="center"/>
    </xf>
    <xf numFmtId="1" fontId="4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1" fontId="2" fillId="0" borderId="0" xfId="0" applyNumberFormat="1" applyFont="1" applyFill="1" applyAlignment="1">
      <alignment vertical="center"/>
    </xf>
    <xf numFmtId="165" fontId="2" fillId="0" borderId="0" xfId="0" applyNumberFormat="1" applyFont="1" applyBorder="1" applyAlignment="1">
      <alignment vertical="center"/>
    </xf>
    <xf numFmtId="1" fontId="5" fillId="34" borderId="35" xfId="0" applyNumberFormat="1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1" fontId="4" fillId="37" borderId="19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1" fontId="4" fillId="0" borderId="36" xfId="0" applyNumberFormat="1" applyFont="1" applyFill="1" applyBorder="1" applyAlignment="1">
      <alignment horizontal="center" vertical="center"/>
    </xf>
    <xf numFmtId="167" fontId="2" fillId="0" borderId="0" xfId="0" applyNumberFormat="1" applyFont="1" applyFill="1" applyBorder="1" applyAlignment="1">
      <alignment vertical="center"/>
    </xf>
    <xf numFmtId="167" fontId="4" fillId="37" borderId="36" xfId="0" applyNumberFormat="1" applyFont="1" applyFill="1" applyBorder="1" applyAlignment="1">
      <alignment horizontal="center" vertical="center"/>
    </xf>
    <xf numFmtId="167" fontId="2" fillId="0" borderId="0" xfId="0" applyNumberFormat="1" applyFont="1" applyFill="1" applyBorder="1" applyAlignment="1">
      <alignment horizontal="center" vertical="center"/>
    </xf>
    <xf numFmtId="167" fontId="4" fillId="0" borderId="0" xfId="0" applyNumberFormat="1" applyFont="1" applyFill="1" applyBorder="1" applyAlignment="1">
      <alignment vertical="center"/>
    </xf>
    <xf numFmtId="167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167" fontId="4" fillId="37" borderId="17" xfId="0" applyNumberFormat="1" applyFont="1" applyFill="1" applyBorder="1" applyAlignment="1">
      <alignment horizontal="center" vertical="center"/>
    </xf>
    <xf numFmtId="0" fontId="2" fillId="37" borderId="0" xfId="0" applyFont="1" applyFill="1" applyAlignment="1">
      <alignment vertical="center"/>
    </xf>
    <xf numFmtId="0" fontId="45" fillId="0" borderId="0" xfId="0" applyFont="1" applyAlignment="1">
      <alignment vertical="center"/>
    </xf>
    <xf numFmtId="0" fontId="45" fillId="0" borderId="12" xfId="56" applyFont="1" applyFill="1" applyBorder="1" applyAlignment="1">
      <alignment horizontal="left" vertical="center" indent="1"/>
      <protection/>
    </xf>
    <xf numFmtId="165" fontId="2" fillId="33" borderId="37" xfId="0" applyNumberFormat="1" applyFont="1" applyFill="1" applyBorder="1" applyAlignment="1">
      <alignment horizontal="center" vertical="center"/>
    </xf>
    <xf numFmtId="0" fontId="2" fillId="33" borderId="35" xfId="0" applyFont="1" applyFill="1" applyBorder="1" applyAlignment="1">
      <alignment horizontal="center" vertical="center"/>
    </xf>
    <xf numFmtId="0" fontId="2" fillId="38" borderId="0" xfId="0" applyFont="1" applyFill="1" applyBorder="1" applyAlignment="1">
      <alignment horizontal="center" vertical="center"/>
    </xf>
    <xf numFmtId="9" fontId="2" fillId="38" borderId="0" xfId="0" applyNumberFormat="1" applyFont="1" applyFill="1" applyBorder="1" applyAlignment="1">
      <alignment horizontal="center" vertical="center"/>
    </xf>
    <xf numFmtId="0" fontId="2" fillId="33" borderId="38" xfId="0" applyFont="1" applyFill="1" applyBorder="1" applyAlignment="1">
      <alignment horizontal="center" vertical="center"/>
    </xf>
    <xf numFmtId="0" fontId="2" fillId="0" borderId="30" xfId="0" applyFont="1" applyBorder="1" applyAlignment="1">
      <alignment horizontal="left" vertical="center" wrapText="1" indent="1"/>
    </xf>
    <xf numFmtId="0" fontId="2" fillId="0" borderId="14" xfId="0" applyFont="1" applyBorder="1" applyAlignment="1">
      <alignment horizontal="left" vertical="center" indent="1"/>
    </xf>
    <xf numFmtId="0" fontId="2" fillId="0" borderId="30" xfId="0" applyFont="1" applyBorder="1" applyAlignment="1">
      <alignment horizontal="left" vertical="center" indent="1"/>
    </xf>
    <xf numFmtId="0" fontId="2" fillId="0" borderId="39" xfId="0" applyFont="1" applyBorder="1" applyAlignment="1">
      <alignment horizontal="left" vertical="center" indent="1"/>
    </xf>
    <xf numFmtId="0" fontId="2" fillId="0" borderId="0" xfId="0" applyFont="1" applyBorder="1" applyAlignment="1">
      <alignment horizontal="left" vertical="center" indent="1"/>
    </xf>
    <xf numFmtId="0" fontId="2" fillId="0" borderId="40" xfId="0" applyFont="1" applyBorder="1" applyAlignment="1">
      <alignment horizontal="left" vertical="center" indent="1"/>
    </xf>
    <xf numFmtId="0" fontId="2" fillId="38" borderId="0" xfId="0" applyFont="1" applyFill="1" applyBorder="1" applyAlignment="1">
      <alignment horizontal="left" vertical="center" indent="1"/>
    </xf>
    <xf numFmtId="0" fontId="2" fillId="0" borderId="30" xfId="0" applyFont="1" applyBorder="1" applyAlignment="1">
      <alignment horizontal="left" vertical="center" indent="1"/>
    </xf>
    <xf numFmtId="165" fontId="2" fillId="0" borderId="17" xfId="59" applyNumberFormat="1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/>
    </xf>
    <xf numFmtId="165" fontId="2" fillId="33" borderId="31" xfId="0" applyNumberFormat="1" applyFont="1" applyFill="1" applyBorder="1" applyAlignment="1">
      <alignment horizontal="center" vertical="center"/>
    </xf>
    <xf numFmtId="2" fontId="2" fillId="38" borderId="37" xfId="0" applyNumberFormat="1" applyFont="1" applyFill="1" applyBorder="1" applyAlignment="1">
      <alignment horizontal="center" vertical="center"/>
    </xf>
    <xf numFmtId="9" fontId="2" fillId="38" borderId="11" xfId="0" applyNumberFormat="1" applyFont="1" applyFill="1" applyBorder="1" applyAlignment="1">
      <alignment horizontal="center" vertical="center"/>
    </xf>
    <xf numFmtId="0" fontId="2" fillId="0" borderId="30" xfId="0" applyFont="1" applyBorder="1" applyAlignment="1">
      <alignment horizontal="left" vertical="center" indent="1"/>
    </xf>
    <xf numFmtId="0" fontId="2" fillId="0" borderId="14" xfId="0" applyFont="1" applyBorder="1" applyAlignment="1">
      <alignment horizontal="left" vertical="center" indent="1"/>
    </xf>
    <xf numFmtId="0" fontId="9" fillId="0" borderId="41" xfId="0" applyFont="1" applyBorder="1" applyAlignment="1">
      <alignment horizontal="left" vertical="center" indent="1"/>
    </xf>
    <xf numFmtId="0" fontId="9" fillId="0" borderId="0" xfId="0" applyFont="1" applyBorder="1" applyAlignment="1">
      <alignment horizontal="left" vertical="center" indent="1"/>
    </xf>
    <xf numFmtId="0" fontId="9" fillId="0" borderId="40" xfId="0" applyFont="1" applyBorder="1" applyAlignment="1">
      <alignment horizontal="left" vertical="center" indent="1"/>
    </xf>
    <xf numFmtId="0" fontId="9" fillId="0" borderId="29" xfId="0" applyFont="1" applyBorder="1" applyAlignment="1">
      <alignment horizontal="left" vertical="center" indent="1"/>
    </xf>
    <xf numFmtId="0" fontId="9" fillId="0" borderId="42" xfId="0" applyFont="1" applyBorder="1" applyAlignment="1">
      <alignment horizontal="left" vertical="center" indent="1"/>
    </xf>
    <xf numFmtId="0" fontId="9" fillId="0" borderId="43" xfId="0" applyFont="1" applyBorder="1" applyAlignment="1">
      <alignment horizontal="left" vertical="center" indent="1"/>
    </xf>
    <xf numFmtId="165" fontId="2" fillId="33" borderId="44" xfId="0" applyNumberFormat="1" applyFont="1" applyFill="1" applyBorder="1" applyAlignment="1">
      <alignment horizontal="center" vertical="center"/>
    </xf>
    <xf numFmtId="1" fontId="2" fillId="0" borderId="45" xfId="0" applyNumberFormat="1" applyFont="1" applyFill="1" applyBorder="1" applyAlignment="1">
      <alignment horizontal="center" vertical="center"/>
    </xf>
    <xf numFmtId="165" fontId="10" fillId="35" borderId="44" xfId="0" applyNumberFormat="1" applyFont="1" applyFill="1" applyBorder="1" applyAlignment="1">
      <alignment horizontal="center" vertical="center"/>
    </xf>
    <xf numFmtId="1" fontId="4" fillId="35" borderId="45" xfId="0" applyNumberFormat="1" applyFont="1" applyFill="1" applyBorder="1" applyAlignment="1">
      <alignment horizontal="center" vertical="center"/>
    </xf>
    <xf numFmtId="1" fontId="4" fillId="37" borderId="46" xfId="0" applyNumberFormat="1" applyFont="1" applyFill="1" applyBorder="1" applyAlignment="1">
      <alignment horizontal="center" vertical="center"/>
    </xf>
    <xf numFmtId="1" fontId="4" fillId="0" borderId="47" xfId="0" applyNumberFormat="1" applyFont="1" applyFill="1" applyBorder="1" applyAlignment="1">
      <alignment horizontal="center" vertical="center"/>
    </xf>
    <xf numFmtId="167" fontId="4" fillId="37" borderId="47" xfId="0" applyNumberFormat="1" applyFont="1" applyFill="1" applyBorder="1" applyAlignment="1">
      <alignment horizontal="center" vertical="center"/>
    </xf>
    <xf numFmtId="1" fontId="4" fillId="37" borderId="37" xfId="0" applyNumberFormat="1" applyFont="1" applyFill="1" applyBorder="1" applyAlignment="1">
      <alignment horizontal="center" vertical="center"/>
    </xf>
    <xf numFmtId="1" fontId="4" fillId="0" borderId="16" xfId="0" applyNumberFormat="1" applyFont="1" applyFill="1" applyBorder="1" applyAlignment="1">
      <alignment horizontal="center" vertical="center"/>
    </xf>
    <xf numFmtId="167" fontId="4" fillId="37" borderId="16" xfId="0" applyNumberFormat="1" applyFont="1" applyFill="1" applyBorder="1" applyAlignment="1">
      <alignment horizontal="center" vertical="center"/>
    </xf>
    <xf numFmtId="1" fontId="2" fillId="38" borderId="37" xfId="0" applyNumberFormat="1" applyFont="1" applyFill="1" applyBorder="1" applyAlignment="1">
      <alignment horizontal="center" vertical="center"/>
    </xf>
    <xf numFmtId="1" fontId="4" fillId="37" borderId="48" xfId="0" applyNumberFormat="1" applyFont="1" applyFill="1" applyBorder="1" applyAlignment="1">
      <alignment horizontal="center" vertical="center"/>
    </xf>
    <xf numFmtId="1" fontId="4" fillId="37" borderId="38" xfId="0" applyNumberFormat="1" applyFont="1" applyFill="1" applyBorder="1" applyAlignment="1">
      <alignment horizontal="center" vertical="center"/>
    </xf>
    <xf numFmtId="167" fontId="4" fillId="37" borderId="14" xfId="0" applyNumberFormat="1" applyFont="1" applyFill="1" applyBorder="1" applyAlignment="1">
      <alignment horizontal="center" vertical="center"/>
    </xf>
    <xf numFmtId="1" fontId="4" fillId="0" borderId="49" xfId="0" applyNumberFormat="1" applyFont="1" applyFill="1" applyBorder="1" applyAlignment="1">
      <alignment horizontal="center" vertical="center"/>
    </xf>
    <xf numFmtId="0" fontId="2" fillId="0" borderId="30" xfId="0" applyFont="1" applyBorder="1" applyAlignment="1">
      <alignment horizontal="left" vertical="center" indent="1"/>
    </xf>
    <xf numFmtId="0" fontId="2" fillId="0" borderId="0" xfId="0" applyFont="1" applyBorder="1" applyAlignment="1">
      <alignment horizontal="left" vertical="center" indent="1"/>
    </xf>
    <xf numFmtId="0" fontId="2" fillId="0" borderId="40" xfId="0" applyFont="1" applyBorder="1" applyAlignment="1">
      <alignment horizontal="left" vertical="center" indent="1"/>
    </xf>
    <xf numFmtId="0" fontId="5" fillId="34" borderId="50" xfId="0" applyFont="1" applyFill="1" applyBorder="1" applyAlignment="1">
      <alignment horizontal="left" vertical="center"/>
    </xf>
    <xf numFmtId="0" fontId="5" fillId="34" borderId="51" xfId="0" applyFont="1" applyFill="1" applyBorder="1" applyAlignment="1">
      <alignment horizontal="left" vertical="center"/>
    </xf>
    <xf numFmtId="0" fontId="5" fillId="34" borderId="52" xfId="0" applyFont="1" applyFill="1" applyBorder="1" applyAlignment="1">
      <alignment horizontal="left" vertical="center"/>
    </xf>
    <xf numFmtId="0" fontId="5" fillId="34" borderId="53" xfId="0" applyFont="1" applyFill="1" applyBorder="1" applyAlignment="1">
      <alignment horizontal="left" vertical="center"/>
    </xf>
    <xf numFmtId="0" fontId="5" fillId="34" borderId="54" xfId="0" applyFont="1" applyFill="1" applyBorder="1" applyAlignment="1">
      <alignment horizontal="left" vertical="center"/>
    </xf>
    <xf numFmtId="0" fontId="5" fillId="34" borderId="55" xfId="0" applyFont="1" applyFill="1" applyBorder="1" applyAlignment="1">
      <alignment horizontal="left" vertical="center"/>
    </xf>
    <xf numFmtId="0" fontId="2" fillId="0" borderId="53" xfId="0" applyFont="1" applyBorder="1" applyAlignment="1">
      <alignment horizontal="left" vertical="center" indent="1"/>
    </xf>
    <xf numFmtId="0" fontId="2" fillId="0" borderId="55" xfId="0" applyFont="1" applyBorder="1" applyAlignment="1">
      <alignment horizontal="left" vertical="center" indent="1"/>
    </xf>
    <xf numFmtId="0" fontId="2" fillId="0" borderId="54" xfId="0" applyFont="1" applyBorder="1" applyAlignment="1">
      <alignment horizontal="left" vertical="center" indent="1"/>
    </xf>
    <xf numFmtId="0" fontId="2" fillId="0" borderId="56" xfId="0" applyFont="1" applyBorder="1" applyAlignment="1">
      <alignment horizontal="left" vertical="center" indent="1"/>
    </xf>
    <xf numFmtId="0" fontId="2" fillId="0" borderId="39" xfId="0" applyFont="1" applyBorder="1" applyAlignment="1">
      <alignment horizontal="left" vertical="center" indent="1"/>
    </xf>
    <xf numFmtId="0" fontId="2" fillId="0" borderId="14" xfId="0" applyFont="1" applyBorder="1" applyAlignment="1">
      <alignment horizontal="left" vertical="center" indent="1"/>
    </xf>
    <xf numFmtId="0" fontId="2" fillId="0" borderId="57" xfId="0" applyFont="1" applyBorder="1" applyAlignment="1">
      <alignment horizontal="left" vertical="center" indent="1"/>
    </xf>
    <xf numFmtId="0" fontId="2" fillId="0" borderId="15" xfId="0" applyFont="1" applyBorder="1" applyAlignment="1">
      <alignment horizontal="left" vertical="center" indent="1"/>
    </xf>
    <xf numFmtId="0" fontId="2" fillId="0" borderId="58" xfId="0" applyFont="1" applyBorder="1" applyAlignment="1">
      <alignment horizontal="left" vertical="center" indent="1"/>
    </xf>
    <xf numFmtId="0" fontId="2" fillId="38" borderId="0" xfId="0" applyFont="1" applyFill="1" applyBorder="1" applyAlignment="1">
      <alignment horizontal="left" vertical="center" indent="1"/>
    </xf>
    <xf numFmtId="0" fontId="4" fillId="39" borderId="50" xfId="0" applyFont="1" applyFill="1" applyBorder="1" applyAlignment="1">
      <alignment horizontal="left" vertical="center"/>
    </xf>
    <xf numFmtId="0" fontId="4" fillId="39" borderId="52" xfId="0" applyFont="1" applyFill="1" applyBorder="1" applyAlignment="1">
      <alignment horizontal="left" vertical="center"/>
    </xf>
    <xf numFmtId="0" fontId="4" fillId="39" borderId="51" xfId="0" applyFont="1" applyFill="1" applyBorder="1" applyAlignment="1">
      <alignment horizontal="left" vertical="center"/>
    </xf>
    <xf numFmtId="165" fontId="10" fillId="39" borderId="50" xfId="0" applyNumberFormat="1" applyFont="1" applyFill="1" applyBorder="1" applyAlignment="1">
      <alignment horizontal="center" vertical="center"/>
    </xf>
    <xf numFmtId="165" fontId="10" fillId="39" borderId="51" xfId="0" applyNumberFormat="1" applyFont="1" applyFill="1" applyBorder="1" applyAlignment="1">
      <alignment horizontal="center" vertical="center"/>
    </xf>
    <xf numFmtId="0" fontId="5" fillId="34" borderId="21" xfId="0" applyFont="1" applyFill="1" applyBorder="1" applyAlignment="1">
      <alignment horizontal="left" vertical="center"/>
    </xf>
    <xf numFmtId="0" fontId="5" fillId="34" borderId="59" xfId="0" applyFont="1" applyFill="1" applyBorder="1" applyAlignment="1">
      <alignment horizontal="left" vertical="center"/>
    </xf>
    <xf numFmtId="0" fontId="8" fillId="34" borderId="46" xfId="0" applyFont="1" applyFill="1" applyBorder="1" applyAlignment="1">
      <alignment horizontal="center" vertical="center"/>
    </xf>
    <xf numFmtId="0" fontId="8" fillId="34" borderId="60" xfId="0" applyFont="1" applyFill="1" applyBorder="1" applyAlignment="1">
      <alignment horizontal="center" vertical="center"/>
    </xf>
    <xf numFmtId="0" fontId="8" fillId="34" borderId="46" xfId="0" applyFont="1" applyFill="1" applyBorder="1" applyAlignment="1">
      <alignment vertical="center"/>
    </xf>
    <xf numFmtId="0" fontId="8" fillId="34" borderId="61" xfId="0" applyFont="1" applyFill="1" applyBorder="1" applyAlignment="1">
      <alignment vertical="center"/>
    </xf>
    <xf numFmtId="0" fontId="8" fillId="34" borderId="53" xfId="0" applyFont="1" applyFill="1" applyBorder="1" applyAlignment="1">
      <alignment horizontal="center" vertical="center"/>
    </xf>
    <xf numFmtId="0" fontId="8" fillId="34" borderId="55" xfId="0" applyFont="1" applyFill="1" applyBorder="1" applyAlignment="1">
      <alignment horizontal="center" vertical="center"/>
    </xf>
    <xf numFmtId="0" fontId="4" fillId="39" borderId="33" xfId="0" applyFont="1" applyFill="1" applyBorder="1" applyAlignment="1">
      <alignment horizontal="center" vertical="center"/>
    </xf>
    <xf numFmtId="0" fontId="4" fillId="39" borderId="34" xfId="0" applyFont="1" applyFill="1" applyBorder="1" applyAlignment="1">
      <alignment horizontal="center" vertical="center"/>
    </xf>
    <xf numFmtId="0" fontId="4" fillId="39" borderId="50" xfId="0" applyFont="1" applyFill="1" applyBorder="1" applyAlignment="1">
      <alignment horizontal="center" vertical="center"/>
    </xf>
    <xf numFmtId="0" fontId="4" fillId="39" borderId="51" xfId="0" applyFont="1" applyFill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165" fontId="10" fillId="39" borderId="33" xfId="0" applyNumberFormat="1" applyFont="1" applyFill="1" applyBorder="1" applyAlignment="1">
      <alignment horizontal="center" vertical="center"/>
    </xf>
    <xf numFmtId="165" fontId="10" fillId="39" borderId="34" xfId="0" applyNumberFormat="1" applyFont="1" applyFill="1" applyBorder="1" applyAlignment="1">
      <alignment horizontal="center" vertical="center"/>
    </xf>
    <xf numFmtId="0" fontId="4" fillId="0" borderId="62" xfId="0" applyFont="1" applyFill="1" applyBorder="1" applyAlignment="1">
      <alignment horizontal="center" vertical="center"/>
    </xf>
    <xf numFmtId="0" fontId="4" fillId="0" borderId="63" xfId="0" applyFont="1" applyFill="1" applyBorder="1" applyAlignment="1">
      <alignment horizontal="center" vertical="center"/>
    </xf>
    <xf numFmtId="0" fontId="4" fillId="0" borderId="64" xfId="0" applyFont="1" applyFill="1" applyBorder="1" applyAlignment="1">
      <alignment horizontal="center" vertical="center"/>
    </xf>
    <xf numFmtId="0" fontId="10" fillId="39" borderId="65" xfId="0" applyFont="1" applyFill="1" applyBorder="1" applyAlignment="1">
      <alignment horizontal="left" vertical="center"/>
    </xf>
    <xf numFmtId="0" fontId="10" fillId="39" borderId="66" xfId="0" applyFont="1" applyFill="1" applyBorder="1" applyAlignment="1">
      <alignment horizontal="left" vertical="center"/>
    </xf>
    <xf numFmtId="0" fontId="10" fillId="39" borderId="67" xfId="0" applyFont="1" applyFill="1" applyBorder="1" applyAlignment="1">
      <alignment horizontal="left" vertical="center"/>
    </xf>
    <xf numFmtId="0" fontId="10" fillId="39" borderId="41" xfId="0" applyFont="1" applyFill="1" applyBorder="1" applyAlignment="1">
      <alignment horizontal="left" vertical="center"/>
    </xf>
    <xf numFmtId="0" fontId="10" fillId="39" borderId="0" xfId="0" applyFont="1" applyFill="1" applyBorder="1" applyAlignment="1">
      <alignment horizontal="left" vertical="center"/>
    </xf>
    <xf numFmtId="0" fontId="10" fillId="39" borderId="40" xfId="0" applyFont="1" applyFill="1" applyBorder="1" applyAlignment="1">
      <alignment horizontal="left" vertical="center"/>
    </xf>
    <xf numFmtId="0" fontId="9" fillId="0" borderId="65" xfId="0" applyFont="1" applyBorder="1" applyAlignment="1">
      <alignment horizontal="left" vertical="center" indent="1"/>
    </xf>
    <xf numFmtId="0" fontId="9" fillId="0" borderId="66" xfId="0" applyFont="1" applyBorder="1" applyAlignment="1">
      <alignment horizontal="left" vertical="center" indent="1"/>
    </xf>
    <xf numFmtId="0" fontId="9" fillId="0" borderId="67" xfId="0" applyFont="1" applyBorder="1" applyAlignment="1">
      <alignment horizontal="left" vertical="center" indent="1"/>
    </xf>
    <xf numFmtId="0" fontId="2" fillId="37" borderId="68" xfId="0" applyFont="1" applyFill="1" applyBorder="1" applyAlignment="1">
      <alignment horizontal="left" vertical="center" indent="1"/>
    </xf>
    <xf numFmtId="0" fontId="2" fillId="37" borderId="69" xfId="0" applyFont="1" applyFill="1" applyBorder="1" applyAlignment="1">
      <alignment horizontal="left" vertical="center" indent="1"/>
    </xf>
    <xf numFmtId="0" fontId="2" fillId="37" borderId="60" xfId="0" applyFont="1" applyFill="1" applyBorder="1" applyAlignment="1">
      <alignment horizontal="left" vertical="center" indent="1"/>
    </xf>
    <xf numFmtId="0" fontId="2" fillId="0" borderId="70" xfId="0" applyFont="1" applyFill="1" applyBorder="1" applyAlignment="1">
      <alignment horizontal="left" vertical="center" indent="1"/>
    </xf>
    <xf numFmtId="0" fontId="2" fillId="0" borderId="71" xfId="0" applyFont="1" applyFill="1" applyBorder="1" applyAlignment="1">
      <alignment horizontal="left" vertical="center" indent="1"/>
    </xf>
    <xf numFmtId="0" fontId="2" fillId="0" borderId="72" xfId="0" applyFont="1" applyFill="1" applyBorder="1" applyAlignment="1">
      <alignment horizontal="left" vertical="center" indent="1"/>
    </xf>
    <xf numFmtId="0" fontId="2" fillId="37" borderId="70" xfId="0" applyFont="1" applyFill="1" applyBorder="1" applyAlignment="1">
      <alignment horizontal="left" vertical="center" indent="1"/>
    </xf>
    <xf numFmtId="0" fontId="2" fillId="37" borderId="71" xfId="0" applyFont="1" applyFill="1" applyBorder="1" applyAlignment="1">
      <alignment horizontal="left" vertical="center" indent="1"/>
    </xf>
    <xf numFmtId="0" fontId="2" fillId="37" borderId="72" xfId="0" applyFont="1" applyFill="1" applyBorder="1" applyAlignment="1">
      <alignment horizontal="left" vertical="center" indent="1"/>
    </xf>
    <xf numFmtId="0" fontId="2" fillId="37" borderId="62" xfId="0" applyFont="1" applyFill="1" applyBorder="1" applyAlignment="1">
      <alignment horizontal="left" vertical="center" indent="1"/>
    </xf>
    <xf numFmtId="0" fontId="2" fillId="37" borderId="63" xfId="0" applyFont="1" applyFill="1" applyBorder="1" applyAlignment="1">
      <alignment horizontal="left" vertical="center" indent="1"/>
    </xf>
    <xf numFmtId="0" fontId="2" fillId="37" borderId="64" xfId="0" applyFont="1" applyFill="1" applyBorder="1" applyAlignment="1">
      <alignment horizontal="left" vertical="center" inden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_Sheet1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U68"/>
  <sheetViews>
    <sheetView tabSelected="1" zoomScalePageLayoutView="0" workbookViewId="0" topLeftCell="A13">
      <selection activeCell="A4" sqref="A4"/>
    </sheetView>
  </sheetViews>
  <sheetFormatPr defaultColWidth="8.8515625" defaultRowHeight="15"/>
  <cols>
    <col min="1" max="1" width="54.57421875" style="16" customWidth="1"/>
    <col min="2" max="6" width="12.7109375" style="16" customWidth="1"/>
    <col min="7" max="7" width="13.28125" style="16" customWidth="1"/>
    <col min="8" max="8" width="3.28125" style="16" customWidth="1"/>
    <col min="9" max="10" width="12.7109375" style="16" customWidth="1"/>
    <col min="11" max="11" width="4.7109375" style="16" customWidth="1"/>
    <col min="12" max="13" width="12.7109375" style="16" hidden="1" customWidth="1"/>
    <col min="14" max="14" width="8.8515625" style="16" customWidth="1"/>
    <col min="15" max="21" width="0" style="16" hidden="1" customWidth="1"/>
    <col min="22" max="234" width="8.8515625" style="16" customWidth="1"/>
    <col min="235" max="235" width="27.421875" style="16" customWidth="1"/>
    <col min="236" max="240" width="12.7109375" style="16" customWidth="1"/>
    <col min="241" max="241" width="13.28125" style="16" customWidth="1"/>
    <col min="242" max="242" width="3.28125" style="16" customWidth="1"/>
    <col min="243" max="244" width="12.7109375" style="16" customWidth="1"/>
    <col min="245" max="245" width="4.7109375" style="16" customWidth="1"/>
    <col min="246" max="247" width="12.7109375" style="16" customWidth="1"/>
    <col min="248" max="248" width="8.8515625" style="16" customWidth="1"/>
    <col min="249" max="255" width="0" style="16" hidden="1" customWidth="1"/>
    <col min="256" max="16384" width="8.8515625" style="16" customWidth="1"/>
  </cols>
  <sheetData>
    <row r="3" ht="20.25">
      <c r="B3" s="17" t="s">
        <v>16</v>
      </c>
    </row>
    <row r="4" ht="12.75">
      <c r="B4" s="16" t="s">
        <v>57</v>
      </c>
    </row>
    <row r="8" ht="13.5" thickBot="1"/>
    <row r="9" spans="1:10" ht="16.5" thickBot="1">
      <c r="A9" s="131" t="s">
        <v>54</v>
      </c>
      <c r="B9" s="132"/>
      <c r="D9" s="131" t="s">
        <v>5</v>
      </c>
      <c r="E9" s="133"/>
      <c r="F9" s="132"/>
      <c r="G9" s="134" t="s">
        <v>30</v>
      </c>
      <c r="H9" s="135"/>
      <c r="I9" s="135"/>
      <c r="J9" s="136"/>
    </row>
    <row r="10" spans="1:10" ht="13.5" thickBot="1">
      <c r="A10" s="99" t="s">
        <v>73</v>
      </c>
      <c r="B10" s="88">
        <v>63.701</v>
      </c>
      <c r="D10" s="137" t="s">
        <v>52</v>
      </c>
      <c r="E10" s="138"/>
      <c r="F10" s="87">
        <v>0.303</v>
      </c>
      <c r="G10" s="137" t="s">
        <v>25</v>
      </c>
      <c r="H10" s="139"/>
      <c r="I10" s="140"/>
      <c r="J10" s="18">
        <v>0.05</v>
      </c>
    </row>
    <row r="11" spans="1:10" ht="26.25" thickBot="1">
      <c r="A11" s="92" t="s">
        <v>62</v>
      </c>
      <c r="B11" s="102">
        <v>0.116</v>
      </c>
      <c r="D11" s="105" t="s">
        <v>81</v>
      </c>
      <c r="E11" s="95"/>
      <c r="F11" s="103">
        <f>F10*B10</f>
        <v>19.301403</v>
      </c>
      <c r="G11" s="128" t="s">
        <v>8</v>
      </c>
      <c r="H11" s="129"/>
      <c r="I11" s="130"/>
      <c r="J11" s="18">
        <v>0.05</v>
      </c>
    </row>
    <row r="12" spans="1:10" ht="13.5" thickBot="1">
      <c r="A12" s="94" t="s">
        <v>63</v>
      </c>
      <c r="B12" s="102">
        <v>0.035</v>
      </c>
      <c r="D12" s="105" t="s">
        <v>78</v>
      </c>
      <c r="E12" s="95"/>
      <c r="F12" s="123">
        <v>25</v>
      </c>
      <c r="G12" s="94"/>
      <c r="H12" s="96"/>
      <c r="I12" s="97"/>
      <c r="J12" s="104"/>
    </row>
    <row r="13" spans="1:10" ht="13.5" thickBot="1">
      <c r="A13" s="94" t="s">
        <v>64</v>
      </c>
      <c r="B13" s="100">
        <f>B11+B12</f>
        <v>0.15100000000000002</v>
      </c>
      <c r="D13" s="128" t="s">
        <v>47</v>
      </c>
      <c r="E13" s="141"/>
      <c r="F13" s="19">
        <v>3</v>
      </c>
      <c r="G13" s="128"/>
      <c r="H13" s="129"/>
      <c r="I13" s="130"/>
      <c r="J13" s="104"/>
    </row>
    <row r="14" spans="1:10" ht="13.5" thickBot="1">
      <c r="A14" s="94" t="s">
        <v>61</v>
      </c>
      <c r="B14" s="101">
        <v>1.624</v>
      </c>
      <c r="D14" s="142" t="s">
        <v>51</v>
      </c>
      <c r="E14" s="143"/>
      <c r="F14" s="91">
        <v>150</v>
      </c>
      <c r="G14" s="142" t="s">
        <v>40</v>
      </c>
      <c r="H14" s="144"/>
      <c r="I14" s="145"/>
      <c r="J14" s="21">
        <v>0.05</v>
      </c>
    </row>
    <row r="15" spans="1:10" ht="13.5" thickBot="1">
      <c r="A15" s="105" t="s">
        <v>83</v>
      </c>
      <c r="B15" s="20">
        <f>B10-(B10*B11)-B14</f>
        <v>54.687684</v>
      </c>
      <c r="D15" s="98"/>
      <c r="E15" s="98"/>
      <c r="F15" s="89"/>
      <c r="G15" s="98"/>
      <c r="H15" s="98"/>
      <c r="I15" s="98"/>
      <c r="J15" s="90"/>
    </row>
    <row r="16" spans="1:12" ht="13.5" thickBot="1">
      <c r="A16" s="106" t="s">
        <v>84</v>
      </c>
      <c r="B16" s="20">
        <f>B10*(1-B13)-B14</f>
        <v>52.458149</v>
      </c>
      <c r="D16" s="146"/>
      <c r="E16" s="146"/>
      <c r="F16" s="89"/>
      <c r="G16" s="146"/>
      <c r="H16" s="146"/>
      <c r="I16" s="146"/>
      <c r="J16" s="90"/>
      <c r="L16" s="22">
        <f>0.75*B16*10000/M49</f>
        <v>443.55819334836525</v>
      </c>
    </row>
    <row r="17" spans="1:12" ht="13.5" thickBot="1">
      <c r="A17" s="93" t="s">
        <v>66</v>
      </c>
      <c r="B17" s="20">
        <f>B16-F11</f>
        <v>33.156746</v>
      </c>
      <c r="D17" s="96"/>
      <c r="E17" s="96"/>
      <c r="F17" s="96"/>
      <c r="G17" s="96"/>
      <c r="H17" s="96"/>
      <c r="I17" s="96"/>
      <c r="J17" s="96"/>
      <c r="L17" s="22"/>
    </row>
    <row r="18" spans="2:4" ht="12.75">
      <c r="B18" s="23"/>
      <c r="D18" s="24" t="s">
        <v>74</v>
      </c>
    </row>
    <row r="19" spans="1:4" ht="12.75">
      <c r="A19" s="85"/>
      <c r="D19" s="24" t="s">
        <v>65</v>
      </c>
    </row>
    <row r="20" spans="1:4" ht="12.75">
      <c r="A20" s="85"/>
      <c r="D20" s="24" t="s">
        <v>71</v>
      </c>
    </row>
    <row r="21" ht="13.5" thickBot="1"/>
    <row r="22" spans="1:18" s="27" customFormat="1" ht="13.5" thickBot="1">
      <c r="A22" s="152" t="s">
        <v>46</v>
      </c>
      <c r="B22" s="154" t="s">
        <v>48</v>
      </c>
      <c r="C22" s="155"/>
      <c r="D22" s="25" t="s">
        <v>43</v>
      </c>
      <c r="E22" s="25" t="s">
        <v>44</v>
      </c>
      <c r="F22" s="156" t="s">
        <v>3</v>
      </c>
      <c r="G22" s="157"/>
      <c r="H22" s="26"/>
      <c r="I22" s="158" t="s">
        <v>1</v>
      </c>
      <c r="J22" s="159"/>
      <c r="L22" s="158" t="s">
        <v>13</v>
      </c>
      <c r="M22" s="159"/>
      <c r="O22" s="27" t="s">
        <v>55</v>
      </c>
      <c r="R22" s="27" t="s">
        <v>56</v>
      </c>
    </row>
    <row r="23" spans="1:13" s="27" customFormat="1" ht="13.5" thickBot="1">
      <c r="A23" s="153"/>
      <c r="B23" s="28" t="s">
        <v>19</v>
      </c>
      <c r="C23" s="28" t="s">
        <v>38</v>
      </c>
      <c r="D23" s="28" t="s">
        <v>53</v>
      </c>
      <c r="E23" s="28" t="s">
        <v>53</v>
      </c>
      <c r="F23" s="28" t="s">
        <v>10</v>
      </c>
      <c r="G23" s="29" t="s">
        <v>34</v>
      </c>
      <c r="H23" s="26"/>
      <c r="I23" s="30" t="s">
        <v>26</v>
      </c>
      <c r="J23" s="31" t="s">
        <v>49</v>
      </c>
      <c r="L23" s="30" t="s">
        <v>26</v>
      </c>
      <c r="M23" s="31" t="s">
        <v>49</v>
      </c>
    </row>
    <row r="24" spans="1:13" s="26" customFormat="1" ht="13.5" thickBot="1">
      <c r="A24" s="147" t="s">
        <v>15</v>
      </c>
      <c r="B24" s="148"/>
      <c r="C24" s="148"/>
      <c r="D24" s="148"/>
      <c r="E24" s="148"/>
      <c r="F24" s="148"/>
      <c r="G24" s="149"/>
      <c r="I24" s="160"/>
      <c r="J24" s="161"/>
      <c r="L24" s="162"/>
      <c r="M24" s="163"/>
    </row>
    <row r="25" spans="1:21" ht="15">
      <c r="A25" s="86" t="s">
        <v>18</v>
      </c>
      <c r="B25" s="2">
        <v>20</v>
      </c>
      <c r="C25" s="3">
        <v>32</v>
      </c>
      <c r="D25" s="33">
        <f>B25*C25</f>
        <v>640</v>
      </c>
      <c r="E25" s="34">
        <f>D25*(1+$J$10)</f>
        <v>672</v>
      </c>
      <c r="F25" s="4">
        <v>1</v>
      </c>
      <c r="G25" s="5">
        <v>0.6</v>
      </c>
      <c r="H25" s="6"/>
      <c r="I25" s="7">
        <v>0.065</v>
      </c>
      <c r="J25" s="37">
        <f>ROUND((I$52*I25),0)</f>
        <v>56</v>
      </c>
      <c r="K25" s="1"/>
      <c r="L25" s="7">
        <v>0.04</v>
      </c>
      <c r="M25" s="37">
        <f>ROUND((L$52*L25),0)</f>
        <v>35</v>
      </c>
      <c r="N25" s="8"/>
      <c r="O25" s="9">
        <v>1</v>
      </c>
      <c r="P25" s="10">
        <v>249000</v>
      </c>
      <c r="Q25" s="11">
        <v>20916000</v>
      </c>
      <c r="R25" s="10">
        <v>11703000</v>
      </c>
      <c r="S25" s="1"/>
      <c r="T25" s="14" t="s">
        <v>21</v>
      </c>
      <c r="U25" s="2">
        <v>20</v>
      </c>
    </row>
    <row r="26" spans="1:21" ht="15">
      <c r="A26" s="86" t="s">
        <v>32</v>
      </c>
      <c r="B26" s="2">
        <v>20</v>
      </c>
      <c r="C26" s="3">
        <v>25</v>
      </c>
      <c r="D26" s="33">
        <f>B26*C26</f>
        <v>500</v>
      </c>
      <c r="E26" s="34">
        <f>D26*(1+$J$10)</f>
        <v>525</v>
      </c>
      <c r="F26" s="4"/>
      <c r="G26" s="5">
        <v>0.2</v>
      </c>
      <c r="H26" s="6"/>
      <c r="I26" s="7">
        <v>0.025</v>
      </c>
      <c r="J26" s="37">
        <f>ROUND((I$52*I26),0)</f>
        <v>21</v>
      </c>
      <c r="K26" s="1"/>
      <c r="L26" s="7">
        <v>0.04</v>
      </c>
      <c r="M26" s="37">
        <f>ROUND((L$52*L26),0)</f>
        <v>35</v>
      </c>
      <c r="N26" s="8"/>
      <c r="O26" s="9">
        <v>0.9</v>
      </c>
      <c r="P26" s="10">
        <v>224100</v>
      </c>
      <c r="Q26" s="11">
        <v>18824400</v>
      </c>
      <c r="R26" s="10">
        <v>10532700</v>
      </c>
      <c r="S26" s="1"/>
      <c r="T26" s="14" t="s">
        <v>28</v>
      </c>
      <c r="U26" s="2">
        <v>20</v>
      </c>
    </row>
    <row r="27" spans="1:21" ht="15">
      <c r="A27" s="86" t="s">
        <v>9</v>
      </c>
      <c r="B27" s="2">
        <v>18</v>
      </c>
      <c r="C27" s="3">
        <v>32</v>
      </c>
      <c r="D27" s="33">
        <f>B27*C27</f>
        <v>576</v>
      </c>
      <c r="E27" s="34">
        <f>D27*(1+$J$10)</f>
        <v>604.8000000000001</v>
      </c>
      <c r="F27" s="4"/>
      <c r="G27" s="5"/>
      <c r="H27" s="6"/>
      <c r="I27" s="7">
        <v>0.02</v>
      </c>
      <c r="J27" s="37">
        <f>ROUND((I$52*I27),0)</f>
        <v>17</v>
      </c>
      <c r="K27" s="1"/>
      <c r="L27" s="7">
        <v>0.03</v>
      </c>
      <c r="M27" s="37">
        <f>ROUND((L$52*L27),0)</f>
        <v>27</v>
      </c>
      <c r="N27" s="8"/>
      <c r="O27" s="9">
        <v>0.95</v>
      </c>
      <c r="P27" s="10">
        <v>236550</v>
      </c>
      <c r="Q27" s="11">
        <v>9935100</v>
      </c>
      <c r="R27" s="10">
        <v>11117850</v>
      </c>
      <c r="S27" s="1"/>
      <c r="T27" s="14" t="s">
        <v>9</v>
      </c>
      <c r="U27" s="2">
        <v>18</v>
      </c>
    </row>
    <row r="28" spans="1:21" ht="15">
      <c r="A28" s="86" t="s">
        <v>20</v>
      </c>
      <c r="B28" s="2">
        <v>18</v>
      </c>
      <c r="C28" s="3">
        <v>25</v>
      </c>
      <c r="D28" s="33">
        <f>B28*C28</f>
        <v>450</v>
      </c>
      <c r="E28" s="34">
        <f>D28*(1+$J$10)</f>
        <v>472.5</v>
      </c>
      <c r="F28" s="4"/>
      <c r="G28" s="5"/>
      <c r="H28" s="6"/>
      <c r="I28" s="7">
        <v>0.03</v>
      </c>
      <c r="J28" s="37">
        <f>ROUND((I$52*I28),0)</f>
        <v>26</v>
      </c>
      <c r="K28" s="1"/>
      <c r="L28" s="7">
        <v>0.04</v>
      </c>
      <c r="M28" s="37">
        <f>ROUND((L$52*L28),0)</f>
        <v>35</v>
      </c>
      <c r="N28" s="8"/>
      <c r="O28" s="9">
        <v>0.8</v>
      </c>
      <c r="P28" s="10">
        <v>199200</v>
      </c>
      <c r="Q28" s="11">
        <v>8366400</v>
      </c>
      <c r="R28" s="10">
        <v>9362400</v>
      </c>
      <c r="S28" s="1"/>
      <c r="T28" s="14" t="s">
        <v>20</v>
      </c>
      <c r="U28" s="2">
        <v>18</v>
      </c>
    </row>
    <row r="29" spans="1:21" ht="15">
      <c r="A29" s="86" t="s">
        <v>12</v>
      </c>
      <c r="B29" s="2">
        <v>15</v>
      </c>
      <c r="C29" s="3">
        <v>32</v>
      </c>
      <c r="D29" s="33">
        <f>B29*C29</f>
        <v>480</v>
      </c>
      <c r="E29" s="34">
        <f>D29*(1+$J$10)</f>
        <v>504</v>
      </c>
      <c r="F29" s="4"/>
      <c r="G29" s="5"/>
      <c r="H29" s="6"/>
      <c r="I29" s="7">
        <v>0.155</v>
      </c>
      <c r="J29" s="37">
        <f>ROUND((I$52*I29),0)</f>
        <v>133</v>
      </c>
      <c r="K29" s="1"/>
      <c r="L29" s="7">
        <v>0.15</v>
      </c>
      <c r="M29" s="37">
        <f>ROUND((L$52*L29),0)</f>
        <v>133</v>
      </c>
      <c r="N29" s="8"/>
      <c r="O29" s="9">
        <v>0.88</v>
      </c>
      <c r="P29" s="10">
        <v>219120</v>
      </c>
      <c r="Q29" s="11">
        <v>27609120</v>
      </c>
      <c r="R29" s="10">
        <v>30895920</v>
      </c>
      <c r="S29" s="1"/>
      <c r="T29" s="14" t="s">
        <v>36</v>
      </c>
      <c r="U29" s="2">
        <v>15</v>
      </c>
    </row>
    <row r="30" spans="1:21" ht="13.5" thickBot="1">
      <c r="A30" s="164"/>
      <c r="B30" s="165"/>
      <c r="C30" s="165"/>
      <c r="D30" s="166"/>
      <c r="E30" s="39" t="s">
        <v>39</v>
      </c>
      <c r="F30" s="40">
        <f>SUM(F25:F29)</f>
        <v>1</v>
      </c>
      <c r="G30" s="41">
        <f>SUM(G25:G29)</f>
        <v>0.8</v>
      </c>
      <c r="H30" s="42"/>
      <c r="I30" s="43">
        <f>SUM(I25:I29)</f>
        <v>0.29500000000000004</v>
      </c>
      <c r="J30" s="44"/>
      <c r="L30" s="43">
        <f>SUM(L25:L29)</f>
        <v>0.3</v>
      </c>
      <c r="M30" s="45"/>
      <c r="O30" s="38"/>
      <c r="R30" s="38"/>
      <c r="U30" s="38"/>
    </row>
    <row r="31" spans="1:21" ht="13.5" thickBot="1">
      <c r="A31" s="147" t="s">
        <v>8</v>
      </c>
      <c r="B31" s="148"/>
      <c r="C31" s="148"/>
      <c r="D31" s="148"/>
      <c r="E31" s="148"/>
      <c r="F31" s="148"/>
      <c r="G31" s="149"/>
      <c r="H31" s="42"/>
      <c r="I31" s="167"/>
      <c r="J31" s="168"/>
      <c r="L31" s="167"/>
      <c r="M31" s="168"/>
      <c r="O31" s="38"/>
      <c r="R31" s="38"/>
      <c r="U31" s="38"/>
    </row>
    <row r="32" spans="1:21" ht="15">
      <c r="A32" s="86" t="s">
        <v>24</v>
      </c>
      <c r="B32" s="2">
        <v>15</v>
      </c>
      <c r="C32" s="3">
        <v>25</v>
      </c>
      <c r="D32" s="33">
        <f aca="true" t="shared" si="0" ref="D32:D44">B32*C32</f>
        <v>375</v>
      </c>
      <c r="E32" s="34">
        <f>D32*(1+$J$11)</f>
        <v>393.75</v>
      </c>
      <c r="F32" s="4">
        <v>0</v>
      </c>
      <c r="G32" s="5">
        <v>0.1</v>
      </c>
      <c r="H32" s="6"/>
      <c r="I32" s="7">
        <v>0.135</v>
      </c>
      <c r="J32" s="37">
        <f aca="true" t="shared" si="1" ref="J32:J44">ROUND((I$52*I32),0)</f>
        <v>116</v>
      </c>
      <c r="K32" s="1"/>
      <c r="L32" s="7">
        <v>0.1</v>
      </c>
      <c r="M32" s="37">
        <f aca="true" t="shared" si="2" ref="M32:M44">ROUND((L$52*L32),0)</f>
        <v>89</v>
      </c>
      <c r="N32" s="8"/>
      <c r="O32" s="9">
        <v>0.75</v>
      </c>
      <c r="P32" s="10">
        <v>186750</v>
      </c>
      <c r="Q32" s="11">
        <v>15687000</v>
      </c>
      <c r="R32" s="10">
        <v>17554500</v>
      </c>
      <c r="S32" s="1"/>
      <c r="T32" s="14" t="s">
        <v>41</v>
      </c>
      <c r="U32" s="2">
        <v>10</v>
      </c>
    </row>
    <row r="33" spans="1:21" ht="15">
      <c r="A33" s="86" t="s">
        <v>4</v>
      </c>
      <c r="B33" s="2">
        <v>12.5</v>
      </c>
      <c r="C33" s="3">
        <v>32</v>
      </c>
      <c r="D33" s="33">
        <f t="shared" si="0"/>
        <v>400</v>
      </c>
      <c r="E33" s="34">
        <f aca="true" t="shared" si="3" ref="E33:E44">D33*(1+$J$11)</f>
        <v>420</v>
      </c>
      <c r="F33" s="4">
        <v>0</v>
      </c>
      <c r="G33" s="5">
        <v>0.1</v>
      </c>
      <c r="H33" s="6"/>
      <c r="I33" s="7">
        <v>0.11</v>
      </c>
      <c r="J33" s="37">
        <f t="shared" si="1"/>
        <v>94</v>
      </c>
      <c r="K33" s="1"/>
      <c r="L33" s="7">
        <v>0.1</v>
      </c>
      <c r="M33" s="37">
        <f t="shared" si="2"/>
        <v>89</v>
      </c>
      <c r="N33" s="8"/>
      <c r="O33" s="9">
        <v>0.8</v>
      </c>
      <c r="P33" s="10">
        <v>199200</v>
      </c>
      <c r="Q33" s="11">
        <v>25099200</v>
      </c>
      <c r="R33" s="10">
        <v>18724800</v>
      </c>
      <c r="S33" s="1"/>
      <c r="T33" s="14" t="s">
        <v>45</v>
      </c>
      <c r="U33" s="2">
        <v>10</v>
      </c>
    </row>
    <row r="34" spans="1:21" ht="15">
      <c r="A34" s="86" t="s">
        <v>17</v>
      </c>
      <c r="B34" s="2">
        <v>12.5</v>
      </c>
      <c r="C34" s="3">
        <v>25</v>
      </c>
      <c r="D34" s="33">
        <f t="shared" si="0"/>
        <v>312.5</v>
      </c>
      <c r="E34" s="34">
        <f t="shared" si="3"/>
        <v>328.125</v>
      </c>
      <c r="F34" s="4">
        <v>0</v>
      </c>
      <c r="G34" s="5">
        <v>0</v>
      </c>
      <c r="H34" s="6"/>
      <c r="I34" s="7">
        <v>0.105</v>
      </c>
      <c r="J34" s="37">
        <f t="shared" si="1"/>
        <v>90</v>
      </c>
      <c r="K34" s="1"/>
      <c r="L34" s="7">
        <v>0.1</v>
      </c>
      <c r="M34" s="37">
        <f t="shared" si="2"/>
        <v>89</v>
      </c>
      <c r="N34" s="8"/>
      <c r="O34" s="9">
        <v>0.63</v>
      </c>
      <c r="P34" s="10">
        <v>156870</v>
      </c>
      <c r="Q34" s="11">
        <v>13177080</v>
      </c>
      <c r="R34" s="10">
        <v>7372890</v>
      </c>
      <c r="S34" s="1"/>
      <c r="T34" s="14" t="s">
        <v>2</v>
      </c>
      <c r="U34" s="2">
        <v>7.5</v>
      </c>
    </row>
    <row r="35" spans="1:21" ht="15">
      <c r="A35" s="86" t="s">
        <v>50</v>
      </c>
      <c r="B35" s="2">
        <v>10</v>
      </c>
      <c r="C35" s="3">
        <v>32</v>
      </c>
      <c r="D35" s="33">
        <f t="shared" si="0"/>
        <v>320</v>
      </c>
      <c r="E35" s="34">
        <f t="shared" si="3"/>
        <v>336</v>
      </c>
      <c r="F35" s="4">
        <v>0</v>
      </c>
      <c r="G35" s="5">
        <v>0</v>
      </c>
      <c r="H35" s="6"/>
      <c r="I35" s="7">
        <v>0.11</v>
      </c>
      <c r="J35" s="37">
        <f t="shared" si="1"/>
        <v>94</v>
      </c>
      <c r="K35" s="1"/>
      <c r="L35" s="7">
        <v>0.1</v>
      </c>
      <c r="M35" s="37">
        <f t="shared" si="2"/>
        <v>89</v>
      </c>
      <c r="N35" s="8"/>
      <c r="O35" s="9">
        <v>0.66</v>
      </c>
      <c r="P35" s="10">
        <v>164340</v>
      </c>
      <c r="Q35" s="11">
        <v>8381340</v>
      </c>
      <c r="R35" s="10">
        <v>9203040</v>
      </c>
      <c r="S35" s="1"/>
      <c r="T35" s="14" t="s">
        <v>42</v>
      </c>
      <c r="U35" s="2">
        <v>7.5</v>
      </c>
    </row>
    <row r="36" spans="1:21" ht="15">
      <c r="A36" s="86" t="s">
        <v>7</v>
      </c>
      <c r="B36" s="2">
        <v>10</v>
      </c>
      <c r="C36" s="3">
        <v>25</v>
      </c>
      <c r="D36" s="33">
        <f t="shared" si="0"/>
        <v>250</v>
      </c>
      <c r="E36" s="34">
        <f t="shared" si="3"/>
        <v>262.5</v>
      </c>
      <c r="F36" s="4">
        <v>0</v>
      </c>
      <c r="G36" s="5">
        <v>0</v>
      </c>
      <c r="H36" s="6"/>
      <c r="I36" s="7">
        <v>0.12</v>
      </c>
      <c r="J36" s="37">
        <f t="shared" si="1"/>
        <v>103</v>
      </c>
      <c r="K36" s="1"/>
      <c r="L36" s="7">
        <v>0.06</v>
      </c>
      <c r="M36" s="37">
        <f t="shared" si="2"/>
        <v>53</v>
      </c>
      <c r="N36" s="8"/>
      <c r="O36" s="9">
        <v>0.56</v>
      </c>
      <c r="P36" s="10">
        <v>139440</v>
      </c>
      <c r="Q36" s="11">
        <v>5856480</v>
      </c>
      <c r="R36" s="10">
        <v>6553680</v>
      </c>
      <c r="S36" s="1"/>
      <c r="T36" s="14" t="s">
        <v>23</v>
      </c>
      <c r="U36" s="2">
        <v>7.5</v>
      </c>
    </row>
    <row r="37" spans="1:21" ht="15">
      <c r="A37" s="86" t="s">
        <v>31</v>
      </c>
      <c r="B37" s="2">
        <v>7.5</v>
      </c>
      <c r="C37" s="3">
        <v>32</v>
      </c>
      <c r="D37" s="33">
        <f t="shared" si="0"/>
        <v>240</v>
      </c>
      <c r="E37" s="34">
        <f t="shared" si="3"/>
        <v>252</v>
      </c>
      <c r="F37" s="4">
        <v>0</v>
      </c>
      <c r="G37" s="5">
        <v>0</v>
      </c>
      <c r="H37" s="6"/>
      <c r="I37" s="7">
        <v>0.025</v>
      </c>
      <c r="J37" s="37">
        <f t="shared" si="1"/>
        <v>21</v>
      </c>
      <c r="K37" s="1"/>
      <c r="L37" s="7">
        <v>0.05</v>
      </c>
      <c r="M37" s="37">
        <f t="shared" si="2"/>
        <v>44</v>
      </c>
      <c r="N37" s="8"/>
      <c r="O37" s="9">
        <v>0.55</v>
      </c>
      <c r="P37" s="10">
        <v>136950</v>
      </c>
      <c r="Q37" s="11">
        <v>4656300</v>
      </c>
      <c r="R37" s="10">
        <v>6436650</v>
      </c>
      <c r="S37" s="1"/>
      <c r="T37" s="14" t="s">
        <v>0</v>
      </c>
      <c r="U37" s="2">
        <v>5</v>
      </c>
    </row>
    <row r="38" spans="1:21" ht="15">
      <c r="A38" s="86" t="s">
        <v>42</v>
      </c>
      <c r="B38" s="2">
        <v>7.5</v>
      </c>
      <c r="C38" s="3">
        <v>25</v>
      </c>
      <c r="D38" s="33">
        <f t="shared" si="0"/>
        <v>187.5</v>
      </c>
      <c r="E38" s="34">
        <f t="shared" si="3"/>
        <v>196.875</v>
      </c>
      <c r="F38" s="4">
        <v>0</v>
      </c>
      <c r="G38" s="5">
        <v>0</v>
      </c>
      <c r="H38" s="6"/>
      <c r="I38" s="7">
        <v>0.03</v>
      </c>
      <c r="J38" s="37">
        <f t="shared" si="1"/>
        <v>26</v>
      </c>
      <c r="K38" s="1"/>
      <c r="L38" s="7">
        <v>0.05</v>
      </c>
      <c r="M38" s="37">
        <f t="shared" si="2"/>
        <v>44</v>
      </c>
      <c r="N38" s="8"/>
      <c r="O38" s="9">
        <v>0.45</v>
      </c>
      <c r="P38" s="10">
        <v>112050</v>
      </c>
      <c r="Q38" s="11">
        <v>896400</v>
      </c>
      <c r="R38" s="10">
        <v>5266350</v>
      </c>
      <c r="S38" s="1"/>
      <c r="T38" s="14" t="s">
        <v>14</v>
      </c>
      <c r="U38" s="2">
        <v>5</v>
      </c>
    </row>
    <row r="39" spans="1:21" ht="15">
      <c r="A39" s="86" t="s">
        <v>23</v>
      </c>
      <c r="B39" s="2">
        <v>7.5</v>
      </c>
      <c r="C39" s="3">
        <v>20</v>
      </c>
      <c r="D39" s="33">
        <f t="shared" si="0"/>
        <v>150</v>
      </c>
      <c r="E39" s="34">
        <f t="shared" si="3"/>
        <v>157.5</v>
      </c>
      <c r="F39" s="4">
        <v>0</v>
      </c>
      <c r="G39" s="5">
        <v>0</v>
      </c>
      <c r="H39" s="6"/>
      <c r="I39" s="7">
        <v>0</v>
      </c>
      <c r="J39" s="37">
        <f t="shared" si="1"/>
        <v>0</v>
      </c>
      <c r="K39" s="1"/>
      <c r="L39" s="7">
        <v>0.05</v>
      </c>
      <c r="M39" s="37">
        <f t="shared" si="2"/>
        <v>44</v>
      </c>
      <c r="N39" s="8"/>
      <c r="O39" s="9">
        <v>0.41</v>
      </c>
      <c r="P39" s="10">
        <v>102090</v>
      </c>
      <c r="Q39" s="11">
        <v>408360</v>
      </c>
      <c r="R39" s="10">
        <v>4798230</v>
      </c>
      <c r="S39" s="1"/>
      <c r="T39" s="14" t="s">
        <v>6</v>
      </c>
      <c r="U39" s="2">
        <v>7.5</v>
      </c>
    </row>
    <row r="40" spans="1:21" ht="15">
      <c r="A40" s="86" t="s">
        <v>0</v>
      </c>
      <c r="B40" s="2">
        <v>5</v>
      </c>
      <c r="C40" s="3">
        <v>32</v>
      </c>
      <c r="D40" s="33">
        <f t="shared" si="0"/>
        <v>160</v>
      </c>
      <c r="E40" s="34">
        <f t="shared" si="3"/>
        <v>168</v>
      </c>
      <c r="F40" s="4">
        <v>0</v>
      </c>
      <c r="G40" s="5">
        <v>0</v>
      </c>
      <c r="H40" s="6"/>
      <c r="I40" s="7">
        <v>0.025</v>
      </c>
      <c r="J40" s="37">
        <f t="shared" si="1"/>
        <v>21</v>
      </c>
      <c r="K40" s="1"/>
      <c r="L40" s="7">
        <v>0.03</v>
      </c>
      <c r="M40" s="37">
        <f t="shared" si="2"/>
        <v>27</v>
      </c>
      <c r="N40" s="8"/>
      <c r="O40" s="9">
        <v>0.43</v>
      </c>
      <c r="P40" s="10">
        <v>107070</v>
      </c>
      <c r="Q40" s="11">
        <v>428280</v>
      </c>
      <c r="R40" s="10">
        <v>5032290</v>
      </c>
      <c r="S40" s="1"/>
      <c r="T40" s="14" t="s">
        <v>22</v>
      </c>
      <c r="U40" s="2">
        <v>7.5</v>
      </c>
    </row>
    <row r="41" spans="1:21" ht="15">
      <c r="A41" s="86" t="s">
        <v>14</v>
      </c>
      <c r="B41" s="2">
        <v>5</v>
      </c>
      <c r="C41" s="3">
        <v>25</v>
      </c>
      <c r="D41" s="33">
        <f t="shared" si="0"/>
        <v>125</v>
      </c>
      <c r="E41" s="34">
        <f t="shared" si="3"/>
        <v>131.25</v>
      </c>
      <c r="F41" s="4">
        <v>0</v>
      </c>
      <c r="G41" s="5">
        <v>0</v>
      </c>
      <c r="H41" s="6"/>
      <c r="I41" s="7">
        <v>0</v>
      </c>
      <c r="J41" s="37">
        <f t="shared" si="1"/>
        <v>0</v>
      </c>
      <c r="K41" s="1"/>
      <c r="L41" s="7">
        <v>0.03</v>
      </c>
      <c r="M41" s="37">
        <f t="shared" si="2"/>
        <v>27</v>
      </c>
      <c r="N41" s="8"/>
      <c r="O41" s="9">
        <v>0.38</v>
      </c>
      <c r="P41" s="10">
        <v>94620</v>
      </c>
      <c r="Q41" s="11">
        <v>378480</v>
      </c>
      <c r="R41" s="10">
        <v>4447140</v>
      </c>
      <c r="S41" s="1"/>
      <c r="T41" s="14" t="s">
        <v>22</v>
      </c>
      <c r="U41" s="2">
        <v>7.5</v>
      </c>
    </row>
    <row r="42" spans="1:21" ht="15.75" thickBot="1">
      <c r="A42" s="86" t="s">
        <v>67</v>
      </c>
      <c r="B42" s="2">
        <v>7.5</v>
      </c>
      <c r="C42" s="3">
        <v>18</v>
      </c>
      <c r="D42" s="33">
        <f t="shared" si="0"/>
        <v>135</v>
      </c>
      <c r="E42" s="34">
        <f t="shared" si="3"/>
        <v>141.75</v>
      </c>
      <c r="F42" s="4">
        <v>0</v>
      </c>
      <c r="G42" s="5">
        <v>0</v>
      </c>
      <c r="H42" s="6"/>
      <c r="I42" s="7">
        <v>0.045</v>
      </c>
      <c r="J42" s="37">
        <f t="shared" si="1"/>
        <v>39</v>
      </c>
      <c r="K42" s="1"/>
      <c r="L42" s="7">
        <v>0.01</v>
      </c>
      <c r="M42" s="37">
        <f t="shared" si="2"/>
        <v>9</v>
      </c>
      <c r="N42" s="8"/>
      <c r="O42" s="9">
        <v>0.37</v>
      </c>
      <c r="P42" s="10">
        <v>92130</v>
      </c>
      <c r="Q42" s="11">
        <v>368520</v>
      </c>
      <c r="R42" s="10">
        <v>829170</v>
      </c>
      <c r="S42" s="1"/>
      <c r="T42" s="12"/>
      <c r="U42" s="15"/>
    </row>
    <row r="43" spans="1:21" ht="15">
      <c r="A43" s="86" t="s">
        <v>68</v>
      </c>
      <c r="B43" s="2">
        <v>7.5</v>
      </c>
      <c r="C43" s="3">
        <v>14</v>
      </c>
      <c r="D43" s="33">
        <f t="shared" si="0"/>
        <v>105</v>
      </c>
      <c r="E43" s="34">
        <f t="shared" si="3"/>
        <v>110.25</v>
      </c>
      <c r="F43" s="4">
        <v>0</v>
      </c>
      <c r="G43" s="5">
        <v>0</v>
      </c>
      <c r="H43" s="6"/>
      <c r="I43" s="7">
        <v>0</v>
      </c>
      <c r="J43" s="37">
        <f t="shared" si="1"/>
        <v>0</v>
      </c>
      <c r="K43" s="1"/>
      <c r="L43" s="7">
        <v>0</v>
      </c>
      <c r="M43" s="37">
        <f t="shared" si="2"/>
        <v>0</v>
      </c>
      <c r="N43" s="8"/>
      <c r="O43" s="9">
        <v>0.34</v>
      </c>
      <c r="P43" s="10">
        <v>84660</v>
      </c>
      <c r="Q43" s="11">
        <v>0</v>
      </c>
      <c r="R43" s="10">
        <v>761940</v>
      </c>
      <c r="S43" s="1"/>
      <c r="T43" s="13"/>
      <c r="U43" s="13"/>
    </row>
    <row r="44" spans="1:21" ht="15">
      <c r="A44" s="86" t="s">
        <v>69</v>
      </c>
      <c r="B44" s="2">
        <v>7.5</v>
      </c>
      <c r="C44" s="3">
        <v>10</v>
      </c>
      <c r="D44" s="33">
        <f t="shared" si="0"/>
        <v>75</v>
      </c>
      <c r="E44" s="34">
        <f t="shared" si="3"/>
        <v>78.75</v>
      </c>
      <c r="F44" s="4">
        <v>0</v>
      </c>
      <c r="G44" s="5">
        <v>0</v>
      </c>
      <c r="H44" s="6"/>
      <c r="I44" s="7">
        <v>0</v>
      </c>
      <c r="J44" s="37">
        <f t="shared" si="1"/>
        <v>0</v>
      </c>
      <c r="K44" s="1"/>
      <c r="L44" s="7">
        <v>0</v>
      </c>
      <c r="M44" s="37">
        <f t="shared" si="2"/>
        <v>0</v>
      </c>
      <c r="N44" s="8"/>
      <c r="O44" s="9">
        <v>0.32</v>
      </c>
      <c r="P44" s="10">
        <v>79680</v>
      </c>
      <c r="Q44" s="11">
        <v>0</v>
      </c>
      <c r="R44" s="10">
        <v>0</v>
      </c>
      <c r="S44" s="1"/>
      <c r="T44" s="13"/>
      <c r="U44" s="13"/>
    </row>
    <row r="45" spans="1:21" ht="13.5" thickBot="1">
      <c r="A45" s="169"/>
      <c r="B45" s="170"/>
      <c r="C45" s="170"/>
      <c r="D45" s="171"/>
      <c r="E45" s="39" t="s">
        <v>39</v>
      </c>
      <c r="F45" s="40">
        <f>SUM(F32:F44)</f>
        <v>0</v>
      </c>
      <c r="G45" s="41">
        <f>SUM(G32:G44)</f>
        <v>0.2</v>
      </c>
      <c r="H45" s="42"/>
      <c r="I45" s="43">
        <f>SUM(I32:I44)</f>
        <v>0.7050000000000001</v>
      </c>
      <c r="J45" s="45"/>
      <c r="L45" s="43">
        <f>SUM(L32:L44)</f>
        <v>0.6800000000000002</v>
      </c>
      <c r="M45" s="45"/>
      <c r="O45" s="38"/>
      <c r="R45" s="38"/>
      <c r="U45" s="38"/>
    </row>
    <row r="46" spans="1:21" ht="13.5" thickBot="1">
      <c r="A46" s="147" t="s">
        <v>33</v>
      </c>
      <c r="B46" s="148"/>
      <c r="C46" s="148"/>
      <c r="D46" s="148"/>
      <c r="E46" s="148"/>
      <c r="F46" s="148"/>
      <c r="G46" s="149"/>
      <c r="H46" s="42"/>
      <c r="I46" s="150"/>
      <c r="J46" s="151"/>
      <c r="L46" s="150"/>
      <c r="M46" s="151"/>
      <c r="O46" s="38"/>
      <c r="R46" s="38"/>
      <c r="U46" s="38"/>
    </row>
    <row r="47" spans="1:21" ht="12.75">
      <c r="A47" s="32" t="s">
        <v>70</v>
      </c>
      <c r="B47" s="48" t="s">
        <v>27</v>
      </c>
      <c r="C47" s="33" t="s">
        <v>27</v>
      </c>
      <c r="D47" s="49">
        <f>F13*F14</f>
        <v>450</v>
      </c>
      <c r="E47" s="34">
        <f>D47*(1+$J$14)</f>
        <v>472.5</v>
      </c>
      <c r="F47" s="46">
        <v>0</v>
      </c>
      <c r="G47" s="47">
        <v>0</v>
      </c>
      <c r="H47" s="35"/>
      <c r="I47" s="113">
        <v>0</v>
      </c>
      <c r="J47" s="114">
        <f>ROUND((I$52*I47),0)</f>
        <v>0</v>
      </c>
      <c r="L47" s="36">
        <v>0.02</v>
      </c>
      <c r="M47" s="37">
        <f>ROUND((L$52*L47),0)</f>
        <v>18</v>
      </c>
      <c r="O47" s="38">
        <f>I47*I$52*$E47</f>
        <v>0</v>
      </c>
      <c r="R47" s="38">
        <f>L47*L$52*$E47</f>
        <v>8372.798193066874</v>
      </c>
      <c r="U47" s="38"/>
    </row>
    <row r="48" spans="1:21" ht="13.5" thickBot="1">
      <c r="A48" s="50"/>
      <c r="B48" s="51"/>
      <c r="C48" s="52"/>
      <c r="D48" s="53"/>
      <c r="E48" s="39" t="s">
        <v>39</v>
      </c>
      <c r="F48" s="40">
        <f>SUM(F47:F47)</f>
        <v>0</v>
      </c>
      <c r="G48" s="41">
        <f>SUM(G47:G47)</f>
        <v>0</v>
      </c>
      <c r="H48" s="42"/>
      <c r="I48" s="115">
        <f>SUM(I47:I47)</f>
        <v>0</v>
      </c>
      <c r="J48" s="116"/>
      <c r="K48" s="27"/>
      <c r="L48" s="43">
        <f>SUM(L47:L47)</f>
        <v>0.02</v>
      </c>
      <c r="M48" s="54"/>
      <c r="O48" s="38">
        <f>SUM(O25:O47)</f>
        <v>11.18</v>
      </c>
      <c r="P48" s="16">
        <f>$B$16*0.75*10000</f>
        <v>393436.1175</v>
      </c>
      <c r="R48" s="38">
        <f>SUM(R25:R47)</f>
        <v>160600922.79819307</v>
      </c>
      <c r="S48" s="16">
        <f>$B$16*0.75*10000</f>
        <v>393436.1175</v>
      </c>
      <c r="U48" s="38"/>
    </row>
    <row r="49" spans="1:15" ht="13.5" thickBot="1">
      <c r="A49" s="55"/>
      <c r="B49" s="56"/>
      <c r="C49" s="56"/>
      <c r="D49" s="56"/>
      <c r="E49" s="57" t="s">
        <v>37</v>
      </c>
      <c r="F49" s="58">
        <f>F48+F45+F30</f>
        <v>1</v>
      </c>
      <c r="G49" s="59">
        <f>G48+G45+G30</f>
        <v>1</v>
      </c>
      <c r="H49" s="60"/>
      <c r="I49" s="61">
        <f>I48+I45+I30</f>
        <v>1</v>
      </c>
      <c r="J49" s="62">
        <f>SUM(J25:J47)</f>
        <v>857</v>
      </c>
      <c r="L49" s="61">
        <f>L48+L45+L30</f>
        <v>1.0000000000000002</v>
      </c>
      <c r="M49" s="62">
        <f>SUM(M25:M47)</f>
        <v>887</v>
      </c>
      <c r="O49" s="38"/>
    </row>
    <row r="50" spans="1:15" s="69" customFormat="1" ht="13.5" thickBot="1">
      <c r="A50" s="63"/>
      <c r="B50" s="53"/>
      <c r="C50" s="53"/>
      <c r="D50" s="53"/>
      <c r="E50" s="64"/>
      <c r="F50" s="65"/>
      <c r="G50" s="65"/>
      <c r="H50" s="42"/>
      <c r="I50" s="66"/>
      <c r="J50" s="67"/>
      <c r="K50" s="68"/>
      <c r="L50" s="66"/>
      <c r="M50" s="67"/>
      <c r="O50" s="70"/>
    </row>
    <row r="51" spans="1:15" ht="16.5" thickBot="1">
      <c r="A51" s="131" t="s">
        <v>35</v>
      </c>
      <c r="B51" s="133"/>
      <c r="C51" s="133"/>
      <c r="D51" s="133"/>
      <c r="E51" s="133"/>
      <c r="F51" s="133"/>
      <c r="G51" s="132"/>
      <c r="H51" s="71"/>
      <c r="I51" s="72" t="s">
        <v>35</v>
      </c>
      <c r="J51" s="38"/>
      <c r="K51" s="73"/>
      <c r="L51" s="72" t="s">
        <v>35</v>
      </c>
      <c r="M51" s="38"/>
      <c r="O51" s="38"/>
    </row>
    <row r="52" spans="1:15" ht="12.75">
      <c r="A52" s="181" t="s">
        <v>49</v>
      </c>
      <c r="B52" s="182"/>
      <c r="C52" s="182"/>
      <c r="D52" s="182"/>
      <c r="E52" s="183"/>
      <c r="F52" s="117">
        <f>($B$17*10000)/(F25*$E$25+F26*$E$26+F27*$E$27+F28*$E$28+F29*$E$29+F32*$E$32+F33*$E$33+F34*$E$34+F35*$E$35+F36*$E$36+F37*$E$37+F38*$E$38+F39*$E$39+F40*$E$40+F41*$E$41+F42*$E$42+F43*$E$43+F44*$E$44)</f>
        <v>493.40395833333326</v>
      </c>
      <c r="G52" s="120">
        <f>($B$17*10000)/(G25*$E$25+G26*$E$26+G27*$E$27+G28*$E$28+G29*$E$29+G32*$E$32+G33*$E$33+G34*$E$34+G35*$E$35+G36*$E$36+G37*$E$37+G38*$E$38+G39*$E$39+G40*$E$40+G41*$E$41+G42*$E$42+G43*$E$43+G44*$E$44)</f>
        <v>562.3838527753041</v>
      </c>
      <c r="H52" s="67"/>
      <c r="I52" s="120">
        <f>($B$17*10000)/(I25*$E$25+I26*$E$26+I27*$E$27+I28*$E$28+I29*$E$29+I32*$E$32+I33*$E$33+I34*$E$34+I35*$E$35+I36*$E$36+I37*$E$37+I38*$E$38+I39*$E$39+I40*$E$40+I41*$E$41+I42*$E$42+I43*$E$43+I44*$E$44+I47*$E$47)</f>
        <v>858.4262474826074</v>
      </c>
      <c r="J52" s="75"/>
      <c r="L52" s="74">
        <f>($B$17)*10000/(L25*$E$25+L26*$E$26+L27*$E$27+L28*$E$28+L29*$E$29+L32*$E$32+L33*$E$33+L34*$E$34+L35*$E$35+L36*$E$36+L37*$E$37+L38*$E$38+L39*$E$39+L40*$E$40+L41*$E$41+L42*$E$42+L43*$E$43+L44*$E$44+L47*$E$47)</f>
        <v>886.0103908007274</v>
      </c>
      <c r="M52" s="67"/>
      <c r="O52" s="38"/>
    </row>
    <row r="53" spans="1:15" ht="12.75">
      <c r="A53" s="184" t="s">
        <v>11</v>
      </c>
      <c r="B53" s="185"/>
      <c r="C53" s="185"/>
      <c r="D53" s="185"/>
      <c r="E53" s="186"/>
      <c r="F53" s="118">
        <f>($B$17)*10000/F52</f>
        <v>672</v>
      </c>
      <c r="G53" s="121">
        <f>($B$17)*10000/G52</f>
        <v>589.575</v>
      </c>
      <c r="H53" s="67"/>
      <c r="I53" s="121">
        <f>($B$17)*10000/I52</f>
        <v>386.250375</v>
      </c>
      <c r="J53" s="64"/>
      <c r="K53" s="38"/>
      <c r="L53" s="76">
        <f>($B$17)*10000/L52</f>
        <v>374.2252500000001</v>
      </c>
      <c r="M53" s="53"/>
      <c r="N53" s="38"/>
      <c r="O53" s="38"/>
    </row>
    <row r="54" spans="1:15" ht="12.75">
      <c r="A54" s="187" t="s">
        <v>60</v>
      </c>
      <c r="B54" s="188"/>
      <c r="C54" s="188"/>
      <c r="D54" s="188"/>
      <c r="E54" s="189"/>
      <c r="F54" s="119">
        <f>F52/$B$15</f>
        <v>9.0222134536422</v>
      </c>
      <c r="G54" s="122">
        <f>G52/$B$15</f>
        <v>10.283555850990219</v>
      </c>
      <c r="H54" s="77"/>
      <c r="I54" s="122">
        <f>I52/$B$15</f>
        <v>15.696884283536445</v>
      </c>
      <c r="J54" s="79"/>
      <c r="L54" s="78">
        <f>L52/$B$15</f>
        <v>16.201278349997914</v>
      </c>
      <c r="M54" s="77"/>
      <c r="O54" s="38"/>
    </row>
    <row r="55" spans="1:15" s="69" customFormat="1" ht="12.75">
      <c r="A55" s="184" t="s">
        <v>29</v>
      </c>
      <c r="B55" s="185"/>
      <c r="C55" s="185"/>
      <c r="D55" s="185"/>
      <c r="E55" s="186"/>
      <c r="F55" s="118">
        <f>F52+($F$13-1)*(F47*F52)</f>
        <v>493.40395833333326</v>
      </c>
      <c r="G55" s="121">
        <f>G52+($F$13-1)*(G47*G52)</f>
        <v>562.3838527753041</v>
      </c>
      <c r="H55" s="80"/>
      <c r="I55" s="121">
        <f>I52+($F$13-1)*(J47)</f>
        <v>858.4262474826074</v>
      </c>
      <c r="J55" s="81"/>
      <c r="K55" s="82"/>
      <c r="L55" s="76">
        <f>L52+($F$13-1)*(M47)</f>
        <v>922.0103908007274</v>
      </c>
      <c r="M55" s="77"/>
      <c r="O55" s="70"/>
    </row>
    <row r="56" spans="1:21" s="84" customFormat="1" ht="13.5" thickBot="1">
      <c r="A56" s="190" t="s">
        <v>77</v>
      </c>
      <c r="B56" s="191"/>
      <c r="C56" s="191"/>
      <c r="D56" s="191"/>
      <c r="E56" s="192"/>
      <c r="F56" s="124">
        <f>$B$14*$F$12</f>
        <v>40.6</v>
      </c>
      <c r="G56" s="125">
        <f>$B$14*$F$12</f>
        <v>40.6</v>
      </c>
      <c r="H56" s="80"/>
      <c r="I56" s="125">
        <f>$B$14*$F$12</f>
        <v>40.6</v>
      </c>
      <c r="J56" s="81"/>
      <c r="K56" s="70"/>
      <c r="L56" s="83"/>
      <c r="M56" s="80"/>
      <c r="N56" s="70"/>
      <c r="O56" s="70"/>
      <c r="P56" s="69"/>
      <c r="Q56" s="69"/>
      <c r="R56" s="69"/>
      <c r="S56" s="69"/>
      <c r="T56" s="69"/>
      <c r="U56" s="69"/>
    </row>
    <row r="57" spans="1:15" s="69" customFormat="1" ht="12.75">
      <c r="A57" s="184" t="s">
        <v>80</v>
      </c>
      <c r="B57" s="185"/>
      <c r="C57" s="185"/>
      <c r="D57" s="185"/>
      <c r="E57" s="186"/>
      <c r="F57" s="118">
        <f>F55+F56</f>
        <v>534.0039583333332</v>
      </c>
      <c r="G57" s="121">
        <f>G55+G56</f>
        <v>602.9838527753042</v>
      </c>
      <c r="H57" s="80"/>
      <c r="I57" s="127">
        <f>I55+I56</f>
        <v>899.0262474826075</v>
      </c>
      <c r="J57" s="81"/>
      <c r="K57" s="82"/>
      <c r="L57" s="76"/>
      <c r="M57" s="77"/>
      <c r="O57" s="70"/>
    </row>
    <row r="58" spans="1:21" s="84" customFormat="1" ht="13.5" thickBot="1">
      <c r="A58" s="190" t="s">
        <v>82</v>
      </c>
      <c r="B58" s="191"/>
      <c r="C58" s="191"/>
      <c r="D58" s="191"/>
      <c r="E58" s="192"/>
      <c r="F58" s="126">
        <f>(F55+F56)/($B$15+$B$14)</f>
        <v>9.483004598714064</v>
      </c>
      <c r="G58" s="83">
        <f>(G55+G56)/($B$15+$B$14)</f>
        <v>10.707970530153284</v>
      </c>
      <c r="H58" s="80"/>
      <c r="I58" s="83">
        <f>(I55+I56)/($B$15+$B$14)</f>
        <v>15.965181355304654</v>
      </c>
      <c r="J58" s="81"/>
      <c r="K58" s="70"/>
      <c r="L58" s="83">
        <f>L55/$B$15</f>
        <v>16.859561849441775</v>
      </c>
      <c r="M58" s="80"/>
      <c r="N58" s="70"/>
      <c r="O58" s="70"/>
      <c r="P58" s="69"/>
      <c r="Q58" s="69"/>
      <c r="R58" s="69"/>
      <c r="S58" s="69"/>
      <c r="T58" s="69"/>
      <c r="U58" s="69"/>
    </row>
    <row r="59" spans="2:15" ht="12.75"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</row>
    <row r="60" ht="12.75">
      <c r="A60" s="24"/>
    </row>
    <row r="61" ht="12.75">
      <c r="A61" s="24"/>
    </row>
    <row r="62" spans="1:4" ht="12.75">
      <c r="A62" s="172" t="s">
        <v>58</v>
      </c>
      <c r="B62" s="173"/>
      <c r="C62" s="173"/>
      <c r="D62" s="174"/>
    </row>
    <row r="63" spans="1:4" ht="12.75">
      <c r="A63" s="175"/>
      <c r="B63" s="176"/>
      <c r="C63" s="176"/>
      <c r="D63" s="177"/>
    </row>
    <row r="64" spans="1:4" ht="12.75">
      <c r="A64" s="178" t="s">
        <v>75</v>
      </c>
      <c r="B64" s="179"/>
      <c r="C64" s="179"/>
      <c r="D64" s="180"/>
    </row>
    <row r="65" spans="1:4" ht="12.75">
      <c r="A65" s="107" t="s">
        <v>59</v>
      </c>
      <c r="B65" s="108"/>
      <c r="C65" s="108"/>
      <c r="D65" s="109"/>
    </row>
    <row r="66" spans="1:4" ht="12.75">
      <c r="A66" s="107" t="s">
        <v>76</v>
      </c>
      <c r="B66" s="108"/>
      <c r="C66" s="108"/>
      <c r="D66" s="109"/>
    </row>
    <row r="67" spans="1:4" ht="12.75">
      <c r="A67" s="107" t="s">
        <v>79</v>
      </c>
      <c r="B67" s="108"/>
      <c r="C67" s="108"/>
      <c r="D67" s="109"/>
    </row>
    <row r="68" spans="1:4" ht="12.75">
      <c r="A68" s="110" t="s">
        <v>72</v>
      </c>
      <c r="B68" s="111"/>
      <c r="C68" s="111"/>
      <c r="D68" s="112"/>
    </row>
  </sheetData>
  <sheetProtection/>
  <mergeCells count="38">
    <mergeCell ref="A62:D63"/>
    <mergeCell ref="A64:D64"/>
    <mergeCell ref="A51:G51"/>
    <mergeCell ref="A52:E52"/>
    <mergeCell ref="A53:E53"/>
    <mergeCell ref="A54:E54"/>
    <mergeCell ref="A55:E55"/>
    <mergeCell ref="A58:E58"/>
    <mergeCell ref="A56:E56"/>
    <mergeCell ref="A57:E57"/>
    <mergeCell ref="A46:G46"/>
    <mergeCell ref="I46:J46"/>
    <mergeCell ref="L46:M46"/>
    <mergeCell ref="A22:A23"/>
    <mergeCell ref="B22:C22"/>
    <mergeCell ref="F22:G22"/>
    <mergeCell ref="I22:J22"/>
    <mergeCell ref="L22:M22"/>
    <mergeCell ref="A24:G24"/>
    <mergeCell ref="I24:J24"/>
    <mergeCell ref="L24:M24"/>
    <mergeCell ref="A30:D30"/>
    <mergeCell ref="A31:G31"/>
    <mergeCell ref="I31:J31"/>
    <mergeCell ref="L31:M31"/>
    <mergeCell ref="A45:D45"/>
    <mergeCell ref="D13:E13"/>
    <mergeCell ref="G13:I13"/>
    <mergeCell ref="D14:E14"/>
    <mergeCell ref="G14:I14"/>
    <mergeCell ref="D16:E16"/>
    <mergeCell ref="G16:I16"/>
    <mergeCell ref="G11:I11"/>
    <mergeCell ref="A9:B9"/>
    <mergeCell ref="D9:F9"/>
    <mergeCell ref="G9:J9"/>
    <mergeCell ref="D10:E10"/>
    <mergeCell ref="G10:I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Urban Land Development Authority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Dnichol</dc:creator>
  <cp:keywords/>
  <dc:description/>
  <cp:lastModifiedBy>rmaskrey</cp:lastModifiedBy>
  <cp:lastPrinted>2012-07-12T06:07:44Z</cp:lastPrinted>
  <dcterms:created xsi:type="dcterms:W3CDTF">2012-02-06T04:20:25Z</dcterms:created>
  <dcterms:modified xsi:type="dcterms:W3CDTF">2012-07-19T03:48:08Z</dcterms:modified>
  <cp:category/>
  <cp:version/>
  <cp:contentType/>
  <cp:contentStatus/>
</cp:coreProperties>
</file>